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ony.chen\AppData\Local\Microsoft\Windows\INetCache\Content.Outlook\2VQPB7GE\"/>
    </mc:Choice>
  </mc:AlternateContent>
  <xr:revisionPtr revIDLastSave="0" documentId="13_ncr:1_{13E35871-E554-4482-AE74-830E6AB665E1}" xr6:coauthVersionLast="45" xr6:coauthVersionMax="45" xr10:uidLastSave="{00000000-0000-0000-0000-000000000000}"/>
  <bookViews>
    <workbookView xWindow="8840" yWindow="21490" windowWidth="19420" windowHeight="10420" activeTab="1" xr2:uid="{F4B25078-E6B9-45AD-A6B1-36800F3F5F91}"/>
  </bookViews>
  <sheets>
    <sheet name="Overview of the model" sheetId="9" r:id="rId1"/>
    <sheet name="Interface and charts" sheetId="6" r:id="rId2"/>
    <sheet name="Chart tables" sheetId="13" r:id="rId3"/>
    <sheet name="Option inputs" sheetId="11" r:id="rId4"/>
    <sheet name="CBA Inputs" sheetId="4" r:id="rId5"/>
    <sheet name="Calculation" sheetId="5" r:id="rId6"/>
  </sheets>
  <externalReferences>
    <externalReference r:id="rId7"/>
  </externalReferences>
  <definedNames>
    <definedName name="AGB_ACTIVE">Calculation!#REF!</definedName>
    <definedName name="AnalysisPeriod">'Option inputs'!$E$10</definedName>
    <definedName name="AnnualisedCapex_ACTIVE">Calculation!#REF!</definedName>
    <definedName name="BaseYear">'Option inputs'!$E$9</definedName>
    <definedName name="BreakdownResults">'Chart tables'!#REF!</definedName>
    <definedName name="CapitalCost_ACTIVE">'CBA Inputs'!$J$12</definedName>
    <definedName name="CapitalCost_Base">'CBA Inputs'!$F$12</definedName>
    <definedName name="CapitalCost_High">'CBA Inputs'!$H$12</definedName>
    <definedName name="CapitalCost_Low">'CBA Inputs'!$G$12</definedName>
    <definedName name="CapitalCost_Selection">'CBA Inputs'!$I$12</definedName>
    <definedName name="Cost1_Selection">'CBA Inputs'!$I$13</definedName>
    <definedName name="Cost2_Selection">'CBA Inputs'!#REF!</definedName>
    <definedName name="Costs">#REF!</definedName>
    <definedName name="Costs_Scenario1">#REF!</definedName>
    <definedName name="Costs_Scenario2">#REF!</definedName>
    <definedName name="Costs_Scenario3">#REF!</definedName>
    <definedName name="Costs_Scenario4">#REF!</definedName>
    <definedName name="DiscountRate_ACTIVE">'CBA Inputs'!$J$8</definedName>
    <definedName name="DiscountRate_Base">'CBA Inputs'!$F$8</definedName>
    <definedName name="DiscountRate_High">'CBA Inputs'!$H$8</definedName>
    <definedName name="DiscountRate_Low">'CBA Inputs'!$G$8</definedName>
    <definedName name="DiscountRate_Selection">'CBA Inputs'!$I$8</definedName>
    <definedName name="FirstYear">'Option inputs'!$E$8</definedName>
    <definedName name="Maintenance_ACTIVE">'CBA Inputs'!#REF!</definedName>
    <definedName name="NPV_Results_H">'Chart tables'!#REF!</definedName>
    <definedName name="NPV_Results_V">Calculation!$F$8:$F$19</definedName>
    <definedName name="NPV_Results_W">'Chart tables'!#REF!</definedName>
    <definedName name="Scenario_Select">'Interface and charts'!$D$8</definedName>
    <definedName name="Scenario1_AGB">Calculation!#REF!</definedName>
    <definedName name="Scenario1_AnnualisedCapex">Calculation!#REF!</definedName>
    <definedName name="Scenario1_BreakdownResults">'Chart tables'!$D$20:$O$26</definedName>
    <definedName name="Scenario1_Results_H">'Chart tables'!$D$10:$O$10</definedName>
    <definedName name="Scenario2_AGB">Calculation!#REF!</definedName>
    <definedName name="Scenario2_AnnualisedCapex">Calculation!#REF!</definedName>
    <definedName name="Scenario2_BreakdownResults">'Chart tables'!$D$31:$O$37</definedName>
    <definedName name="Scenario2_Results_H">'Chart tables'!$D$11:$O$11</definedName>
    <definedName name="Scenario3_AGB">Calculation!#REF!</definedName>
    <definedName name="Scenario3_AnnualisedCapex">Calculation!#REF!</definedName>
    <definedName name="Scenario3_BreakdownResults">'Chart tables'!$D$42:$O$48</definedName>
    <definedName name="Scenario3_Results_H">'Chart tables'!$D$12:$O$12</definedName>
    <definedName name="Scenario4_AGB">Calculation!#REF!</definedName>
    <definedName name="Scenario4_AnnualisedCapex">Calculation!#REF!</definedName>
    <definedName name="Scenario4_BreakdownResults">'Chart tables'!$D$53:$O$59</definedName>
    <definedName name="Scenario4_Results_H">'Chart tables'!$D$13:$O$13</definedName>
    <definedName name="Sen_CapitalCost_Central">'Chart tables'!#REF!</definedName>
    <definedName name="Sen_CapitalCost_High">'Chart tables'!#REF!</definedName>
    <definedName name="Sen_CapitalCost_Low">'Chart tables'!#REF!</definedName>
    <definedName name="Sen_DiscountRate_Central">'Chart tables'!#REF!</definedName>
    <definedName name="Sen_DiscountRate_High">'Chart tables'!#REF!</definedName>
    <definedName name="Sen_DiscountRate_Low">'Chart tables'!#REF!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1" i="6" l="1"/>
  <c r="I7" i="6" l="1"/>
  <c r="J7" i="6"/>
  <c r="K7" i="6"/>
  <c r="L7" i="6"/>
  <c r="L19" i="6"/>
  <c r="L36" i="4" l="1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F8" i="4" l="1"/>
  <c r="J49" i="4" l="1"/>
  <c r="J48" i="4"/>
  <c r="J47" i="4"/>
  <c r="J46" i="4"/>
  <c r="J45" i="4"/>
  <c r="J44" i="4"/>
  <c r="J43" i="4"/>
  <c r="J42" i="4"/>
  <c r="J41" i="4"/>
  <c r="J40" i="4"/>
  <c r="D365" i="4" l="1"/>
  <c r="D350" i="4"/>
  <c r="D335" i="4"/>
  <c r="D320" i="4"/>
  <c r="D303" i="4"/>
  <c r="D288" i="4"/>
  <c r="D273" i="4"/>
  <c r="D258" i="4"/>
  <c r="D241" i="4"/>
  <c r="D226" i="4"/>
  <c r="D211" i="4"/>
  <c r="D196" i="4"/>
  <c r="D179" i="4"/>
  <c r="D164" i="4"/>
  <c r="D149" i="4"/>
  <c r="D134" i="4"/>
  <c r="D117" i="4"/>
  <c r="D102" i="4"/>
  <c r="D87" i="4"/>
  <c r="D72" i="4"/>
  <c r="AD57" i="6"/>
  <c r="AD39" i="6"/>
  <c r="AD19" i="6"/>
  <c r="U57" i="6"/>
  <c r="U39" i="6"/>
  <c r="U19" i="6"/>
  <c r="L57" i="6"/>
  <c r="L39" i="6"/>
  <c r="C57" i="6"/>
  <c r="C39" i="6"/>
  <c r="C19" i="6"/>
  <c r="J39" i="4" l="1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B19" i="6" l="1"/>
  <c r="B57" i="6" s="1"/>
  <c r="B39" i="6" l="1"/>
  <c r="K19" i="6"/>
  <c r="K39" i="6" l="1"/>
  <c r="K57" i="6"/>
  <c r="U35" i="4" l="1"/>
  <c r="U34" i="4"/>
  <c r="U33" i="4"/>
  <c r="U32" i="4"/>
  <c r="U31" i="4"/>
  <c r="U30" i="4"/>
  <c r="U29" i="4"/>
  <c r="U28" i="4"/>
  <c r="U27" i="4"/>
  <c r="U26" i="4"/>
  <c r="U25" i="4"/>
  <c r="U24" i="4"/>
  <c r="U23" i="4"/>
  <c r="U22" i="4"/>
  <c r="U21" i="4"/>
  <c r="U20" i="4"/>
  <c r="J21" i="4"/>
  <c r="J20" i="4"/>
  <c r="AO95" i="5"/>
  <c r="AO92" i="5"/>
  <c r="AO125" i="5" s="1"/>
  <c r="AN92" i="5"/>
  <c r="AN125" i="5" s="1"/>
  <c r="AO91" i="5"/>
  <c r="AO124" i="5" s="1"/>
  <c r="AN91" i="5"/>
  <c r="AN124" i="5" s="1"/>
  <c r="AO90" i="5"/>
  <c r="AO123" i="5" s="1"/>
  <c r="AN90" i="5"/>
  <c r="AN123" i="5" s="1"/>
  <c r="AO89" i="5"/>
  <c r="AO122" i="5" s="1"/>
  <c r="AN89" i="5"/>
  <c r="AN122" i="5" s="1"/>
  <c r="AO88" i="5"/>
  <c r="AO121" i="5" s="1"/>
  <c r="AN88" i="5"/>
  <c r="AN121" i="5" s="1"/>
  <c r="AO87" i="5"/>
  <c r="AO120" i="5" s="1"/>
  <c r="AN87" i="5"/>
  <c r="AN120" i="5" s="1"/>
  <c r="AO86" i="5"/>
  <c r="AO119" i="5" s="1"/>
  <c r="AN86" i="5"/>
  <c r="AN119" i="5" s="1"/>
  <c r="AO85" i="5"/>
  <c r="AO118" i="5" s="1"/>
  <c r="AN85" i="5"/>
  <c r="AN118" i="5" s="1"/>
  <c r="AO84" i="5"/>
  <c r="AO117" i="5" s="1"/>
  <c r="AN84" i="5"/>
  <c r="AN117" i="5" s="1"/>
  <c r="AO83" i="5"/>
  <c r="AO116" i="5" s="1"/>
  <c r="AN83" i="5"/>
  <c r="AN116" i="5" s="1"/>
  <c r="AO82" i="5"/>
  <c r="AO115" i="5" s="1"/>
  <c r="AN82" i="5"/>
  <c r="AN115" i="5" s="1"/>
  <c r="AO81" i="5"/>
  <c r="AO114" i="5" s="1"/>
  <c r="AN81" i="5"/>
  <c r="AN114" i="5" s="1"/>
  <c r="AO80" i="5"/>
  <c r="AO113" i="5" s="1"/>
  <c r="AN80" i="5"/>
  <c r="AN113" i="5" s="1"/>
  <c r="AO79" i="5"/>
  <c r="AO112" i="5" s="1"/>
  <c r="AN79" i="5"/>
  <c r="AN112" i="5" s="1"/>
  <c r="AO78" i="5"/>
  <c r="AO111" i="5" s="1"/>
  <c r="AN78" i="5"/>
  <c r="AN111" i="5" s="1"/>
  <c r="AO77" i="5"/>
  <c r="AO110" i="5" s="1"/>
  <c r="AN77" i="5"/>
  <c r="AN110" i="5" s="1"/>
  <c r="AO76" i="5"/>
  <c r="AO109" i="5" s="1"/>
  <c r="AN76" i="5"/>
  <c r="AN109" i="5" s="1"/>
  <c r="AO75" i="5"/>
  <c r="AO108" i="5" s="1"/>
  <c r="AN75" i="5"/>
  <c r="AN108" i="5" s="1"/>
  <c r="AO74" i="5"/>
  <c r="AO107" i="5" s="1"/>
  <c r="AN74" i="5"/>
  <c r="AN107" i="5" s="1"/>
  <c r="AO73" i="5"/>
  <c r="AO106" i="5" s="1"/>
  <c r="AN73" i="5"/>
  <c r="AN106" i="5" s="1"/>
  <c r="AO72" i="5"/>
  <c r="AO105" i="5" s="1"/>
  <c r="AN72" i="5"/>
  <c r="AN105" i="5" s="1"/>
  <c r="AO71" i="5"/>
  <c r="AO104" i="5" s="1"/>
  <c r="AN71" i="5"/>
  <c r="AN104" i="5" s="1"/>
  <c r="AO70" i="5"/>
  <c r="AO103" i="5" s="1"/>
  <c r="AN70" i="5"/>
  <c r="AN103" i="5" s="1"/>
  <c r="AO69" i="5"/>
  <c r="AO102" i="5" s="1"/>
  <c r="AN69" i="5"/>
  <c r="AN102" i="5" s="1"/>
  <c r="AO68" i="5"/>
  <c r="AO101" i="5" s="1"/>
  <c r="AN68" i="5"/>
  <c r="AN101" i="5" s="1"/>
  <c r="AO67" i="5"/>
  <c r="AO100" i="5" s="1"/>
  <c r="AN67" i="5"/>
  <c r="AN100" i="5" s="1"/>
  <c r="AO66" i="5"/>
  <c r="AO99" i="5" s="1"/>
  <c r="AN66" i="5"/>
  <c r="AN99" i="5" s="1"/>
  <c r="AO65" i="5"/>
  <c r="AO98" i="5" s="1"/>
  <c r="AN65" i="5"/>
  <c r="AN98" i="5" s="1"/>
  <c r="AO64" i="5"/>
  <c r="AO97" i="5" s="1"/>
  <c r="AN64" i="5"/>
  <c r="AN97" i="5" s="1"/>
  <c r="AO63" i="5"/>
  <c r="AO96" i="5" s="1"/>
  <c r="AN63" i="5"/>
  <c r="AN96" i="5" s="1"/>
  <c r="BV62" i="5"/>
  <c r="AQ62" i="5"/>
  <c r="AO62" i="5"/>
  <c r="AM92" i="5"/>
  <c r="AM125" i="5" s="1"/>
  <c r="AM91" i="5"/>
  <c r="AM124" i="5" s="1"/>
  <c r="AM90" i="5"/>
  <c r="AM123" i="5" s="1"/>
  <c r="AM89" i="5"/>
  <c r="AM122" i="5" s="1"/>
  <c r="AM88" i="5"/>
  <c r="AM121" i="5" s="1"/>
  <c r="AM87" i="5"/>
  <c r="AM120" i="5" s="1"/>
  <c r="AM86" i="5"/>
  <c r="AM119" i="5" s="1"/>
  <c r="AM85" i="5"/>
  <c r="AM118" i="5" s="1"/>
  <c r="AM84" i="5"/>
  <c r="AM117" i="5" s="1"/>
  <c r="AM83" i="5"/>
  <c r="AM116" i="5" s="1"/>
  <c r="AM82" i="5"/>
  <c r="AM115" i="5" s="1"/>
  <c r="AM81" i="5"/>
  <c r="AM114" i="5" s="1"/>
  <c r="AM80" i="5"/>
  <c r="AM113" i="5" s="1"/>
  <c r="AM79" i="5"/>
  <c r="AM112" i="5" s="1"/>
  <c r="G55" i="5" l="1"/>
  <c r="H54" i="5"/>
  <c r="H55" i="5" s="1"/>
  <c r="I54" i="5" l="1"/>
  <c r="J54" i="5" s="1"/>
  <c r="K54" i="5" s="1"/>
  <c r="L54" i="5" s="1"/>
  <c r="M54" i="5" s="1"/>
  <c r="N54" i="5" s="1"/>
  <c r="O54" i="5" s="1"/>
  <c r="P54" i="5" s="1"/>
  <c r="Q54" i="5" s="1"/>
  <c r="R54" i="5" s="1"/>
  <c r="S54" i="5" s="1"/>
  <c r="T54" i="5" s="1"/>
  <c r="U54" i="5" s="1"/>
  <c r="V54" i="5" s="1"/>
  <c r="W54" i="5" s="1"/>
  <c r="X54" i="5" s="1"/>
  <c r="Y54" i="5" s="1"/>
  <c r="Z54" i="5" s="1"/>
  <c r="AA54" i="5" s="1"/>
  <c r="AB54" i="5" s="1"/>
  <c r="AC54" i="5" s="1"/>
  <c r="AD54" i="5" s="1"/>
  <c r="AE54" i="5" s="1"/>
  <c r="AF54" i="5" s="1"/>
  <c r="AG54" i="5" s="1"/>
  <c r="AH54" i="5" s="1"/>
  <c r="AI54" i="5" s="1"/>
  <c r="AJ54" i="5" s="1"/>
  <c r="AJ55" i="5" s="1"/>
  <c r="AF55" i="5" l="1"/>
  <c r="J55" i="5"/>
  <c r="Y55" i="5"/>
  <c r="AE55" i="5"/>
  <c r="M55" i="5"/>
  <c r="S55" i="5"/>
  <c r="AD55" i="5"/>
  <c r="AC55" i="5"/>
  <c r="P55" i="5"/>
  <c r="O55" i="5"/>
  <c r="Z55" i="5"/>
  <c r="U55" i="5"/>
  <c r="T55" i="5"/>
  <c r="AI55" i="5"/>
  <c r="AG55" i="5"/>
  <c r="N55" i="5"/>
  <c r="AB55" i="5"/>
  <c r="L55" i="5"/>
  <c r="AA55" i="5"/>
  <c r="K55" i="5"/>
  <c r="AI59" i="5"/>
  <c r="V55" i="5"/>
  <c r="AJ59" i="5"/>
  <c r="Q55" i="5"/>
  <c r="X55" i="5"/>
  <c r="AH59" i="5"/>
  <c r="W55" i="5"/>
  <c r="AG59" i="5"/>
  <c r="AH55" i="5"/>
  <c r="R55" i="5"/>
  <c r="I55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C222" i="5" l="1"/>
  <c r="C223" i="5"/>
  <c r="C224" i="5"/>
  <c r="C225" i="5"/>
  <c r="C226" i="5"/>
  <c r="C227" i="5"/>
  <c r="C228" i="5"/>
  <c r="C229" i="5"/>
  <c r="C230" i="5"/>
  <c r="C231" i="5"/>
  <c r="C232" i="5"/>
  <c r="C221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192" i="5"/>
  <c r="C193" i="5"/>
  <c r="C194" i="5"/>
  <c r="C195" i="5"/>
  <c r="C196" i="5"/>
  <c r="C197" i="5"/>
  <c r="C198" i="5"/>
  <c r="C199" i="5"/>
  <c r="C200" i="5"/>
  <c r="C201" i="5"/>
  <c r="C202" i="5"/>
  <c r="C191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G58" i="5"/>
  <c r="F52" i="4" s="1"/>
  <c r="T19" i="6"/>
  <c r="AC19" i="6"/>
  <c r="AC39" i="6" l="1"/>
  <c r="AC57" i="6"/>
  <c r="T57" i="6"/>
  <c r="T39" i="6"/>
  <c r="G57" i="5"/>
  <c r="H58" i="5"/>
  <c r="G52" i="4" s="1"/>
  <c r="G56" i="5"/>
  <c r="D57" i="6" l="1"/>
  <c r="AE57" i="6"/>
  <c r="V57" i="6"/>
  <c r="M57" i="6"/>
  <c r="H57" i="5"/>
  <c r="F350" i="4"/>
  <c r="F303" i="4"/>
  <c r="F335" i="4"/>
  <c r="F320" i="4"/>
  <c r="F273" i="4"/>
  <c r="F288" i="4"/>
  <c r="F211" i="4"/>
  <c r="F134" i="4"/>
  <c r="F87" i="4"/>
  <c r="F179" i="4"/>
  <c r="F102" i="4"/>
  <c r="F365" i="4"/>
  <c r="F258" i="4"/>
  <c r="F196" i="4"/>
  <c r="F149" i="4"/>
  <c r="F72" i="4"/>
  <c r="F226" i="4"/>
  <c r="F241" i="4"/>
  <c r="F164" i="4"/>
  <c r="F117" i="4"/>
  <c r="F53" i="4"/>
  <c r="I58" i="5"/>
  <c r="H52" i="4" s="1"/>
  <c r="G7" i="5"/>
  <c r="G37" i="5"/>
  <c r="G22" i="5"/>
  <c r="H56" i="5"/>
  <c r="G220" i="5"/>
  <c r="G190" i="5"/>
  <c r="G160" i="5"/>
  <c r="G128" i="5"/>
  <c r="G205" i="5"/>
  <c r="G143" i="5"/>
  <c r="G175" i="5"/>
  <c r="G95" i="5"/>
  <c r="AR95" i="5" s="1"/>
  <c r="G62" i="5"/>
  <c r="AR62" i="5" l="1"/>
  <c r="I57" i="5"/>
  <c r="J58" i="5"/>
  <c r="I52" i="4" s="1"/>
  <c r="I56" i="5"/>
  <c r="H175" i="5"/>
  <c r="G350" i="4"/>
  <c r="G320" i="4"/>
  <c r="G273" i="4"/>
  <c r="G226" i="4"/>
  <c r="G196" i="4"/>
  <c r="G164" i="4"/>
  <c r="G134" i="4"/>
  <c r="G102" i="4"/>
  <c r="G72" i="4"/>
  <c r="G303" i="4"/>
  <c r="G179" i="4"/>
  <c r="G149" i="4"/>
  <c r="G241" i="4"/>
  <c r="G117" i="4"/>
  <c r="G365" i="4"/>
  <c r="G258" i="4"/>
  <c r="G211" i="4"/>
  <c r="G335" i="4"/>
  <c r="G87" i="4"/>
  <c r="G53" i="4"/>
  <c r="G288" i="4"/>
  <c r="H128" i="5"/>
  <c r="H143" i="5"/>
  <c r="H7" i="5"/>
  <c r="H37" i="5"/>
  <c r="H22" i="5"/>
  <c r="H190" i="5"/>
  <c r="H205" i="5"/>
  <c r="H95" i="5"/>
  <c r="AS95" i="5" s="1"/>
  <c r="H160" i="5"/>
  <c r="H62" i="5"/>
  <c r="H220" i="5"/>
  <c r="J56" i="5" l="1"/>
  <c r="AS62" i="5"/>
  <c r="J57" i="5"/>
  <c r="H365" i="4"/>
  <c r="H320" i="4"/>
  <c r="H303" i="4"/>
  <c r="H288" i="4"/>
  <c r="H273" i="4"/>
  <c r="H258" i="4"/>
  <c r="H226" i="4"/>
  <c r="H149" i="4"/>
  <c r="H102" i="4"/>
  <c r="H196" i="4"/>
  <c r="H117" i="4"/>
  <c r="H72" i="4"/>
  <c r="H53" i="4"/>
  <c r="H350" i="4"/>
  <c r="H335" i="4"/>
  <c r="H211" i="4"/>
  <c r="H164" i="4"/>
  <c r="H87" i="4"/>
  <c r="H241" i="4"/>
  <c r="H134" i="4"/>
  <c r="H179" i="4"/>
  <c r="I128" i="5"/>
  <c r="I205" i="5"/>
  <c r="I95" i="5"/>
  <c r="AT95" i="5" s="1"/>
  <c r="I7" i="5"/>
  <c r="I160" i="5"/>
  <c r="I175" i="5"/>
  <c r="I220" i="5"/>
  <c r="I37" i="5"/>
  <c r="I190" i="5"/>
  <c r="K58" i="5"/>
  <c r="I62" i="5"/>
  <c r="I143" i="5"/>
  <c r="I22" i="5"/>
  <c r="J205" i="5" l="1"/>
  <c r="I87" i="4"/>
  <c r="J62" i="5"/>
  <c r="AU62" i="5" s="1"/>
  <c r="I226" i="4"/>
  <c r="I211" i="4"/>
  <c r="J220" i="5"/>
  <c r="I134" i="4"/>
  <c r="I288" i="4"/>
  <c r="I72" i="4"/>
  <c r="I365" i="4"/>
  <c r="J128" i="5"/>
  <c r="J160" i="5"/>
  <c r="J7" i="5"/>
  <c r="I102" i="4"/>
  <c r="I320" i="4"/>
  <c r="I164" i="4"/>
  <c r="I149" i="4"/>
  <c r="I303" i="4"/>
  <c r="J143" i="5"/>
  <c r="J95" i="5"/>
  <c r="AU95" i="5" s="1"/>
  <c r="J37" i="5"/>
  <c r="I196" i="4"/>
  <c r="I117" i="4"/>
  <c r="I241" i="4"/>
  <c r="J175" i="5"/>
  <c r="J190" i="5"/>
  <c r="J22" i="5"/>
  <c r="I273" i="4"/>
  <c r="I350" i="4"/>
  <c r="I53" i="4"/>
  <c r="I179" i="4"/>
  <c r="I258" i="4"/>
  <c r="I335" i="4"/>
  <c r="L58" i="5"/>
  <c r="K52" i="4" s="1"/>
  <c r="J52" i="4"/>
  <c r="AT62" i="5"/>
  <c r="K57" i="5"/>
  <c r="K56" i="5"/>
  <c r="K37" i="5" s="1"/>
  <c r="M58" i="5" l="1"/>
  <c r="L52" i="4" s="1"/>
  <c r="L57" i="5"/>
  <c r="L56" i="5"/>
  <c r="K258" i="4" s="1"/>
  <c r="K143" i="5"/>
  <c r="K190" i="5"/>
  <c r="K7" i="5"/>
  <c r="K95" i="5"/>
  <c r="AV95" i="5" s="1"/>
  <c r="K220" i="5"/>
  <c r="K22" i="5"/>
  <c r="K175" i="5"/>
  <c r="K62" i="5"/>
  <c r="K128" i="5"/>
  <c r="K205" i="5"/>
  <c r="K160" i="5"/>
  <c r="J335" i="4"/>
  <c r="J365" i="4"/>
  <c r="J350" i="4"/>
  <c r="J258" i="4"/>
  <c r="J241" i="4"/>
  <c r="J164" i="4"/>
  <c r="J117" i="4"/>
  <c r="J211" i="4"/>
  <c r="J134" i="4"/>
  <c r="J87" i="4"/>
  <c r="J320" i="4"/>
  <c r="J288" i="4"/>
  <c r="J273" i="4"/>
  <c r="J226" i="4"/>
  <c r="J179" i="4"/>
  <c r="J102" i="4"/>
  <c r="J53" i="4"/>
  <c r="J196" i="4"/>
  <c r="J149" i="4"/>
  <c r="J72" i="4"/>
  <c r="J303" i="4"/>
  <c r="L95" i="5" l="1"/>
  <c r="AW95" i="5" s="1"/>
  <c r="L7" i="5"/>
  <c r="K365" i="4"/>
  <c r="L143" i="5"/>
  <c r="K335" i="4"/>
  <c r="K102" i="4"/>
  <c r="K320" i="4"/>
  <c r="L175" i="5"/>
  <c r="K134" i="4"/>
  <c r="L37" i="5"/>
  <c r="K53" i="4"/>
  <c r="K179" i="4"/>
  <c r="K273" i="4"/>
  <c r="L205" i="5"/>
  <c r="K288" i="4"/>
  <c r="K211" i="4"/>
  <c r="K226" i="4"/>
  <c r="M56" i="5"/>
  <c r="L117" i="4" s="1"/>
  <c r="N58" i="5"/>
  <c r="M52" i="4" s="1"/>
  <c r="M57" i="5"/>
  <c r="L160" i="5"/>
  <c r="L190" i="5"/>
  <c r="L62" i="5"/>
  <c r="K117" i="4"/>
  <c r="K149" i="4"/>
  <c r="K164" i="4"/>
  <c r="K303" i="4"/>
  <c r="K350" i="4"/>
  <c r="L220" i="5"/>
  <c r="L128" i="5"/>
  <c r="L22" i="5"/>
  <c r="K241" i="4"/>
  <c r="K87" i="4"/>
  <c r="K72" i="4"/>
  <c r="K196" i="4"/>
  <c r="AV62" i="5"/>
  <c r="M205" i="5" l="1"/>
  <c r="M128" i="5"/>
  <c r="L350" i="4"/>
  <c r="M37" i="5"/>
  <c r="L211" i="4"/>
  <c r="L320" i="4"/>
  <c r="M62" i="5"/>
  <c r="AX62" i="5" s="1"/>
  <c r="L87" i="4"/>
  <c r="L196" i="4"/>
  <c r="L134" i="4"/>
  <c r="M190" i="5"/>
  <c r="L303" i="4"/>
  <c r="M95" i="5"/>
  <c r="AX95" i="5" s="1"/>
  <c r="L53" i="4"/>
  <c r="L273" i="4"/>
  <c r="L335" i="4"/>
  <c r="O58" i="5"/>
  <c r="N52" i="4" s="1"/>
  <c r="M160" i="5"/>
  <c r="M143" i="5"/>
  <c r="M7" i="5"/>
  <c r="L365" i="4"/>
  <c r="L164" i="4"/>
  <c r="L241" i="4"/>
  <c r="L102" i="4"/>
  <c r="L179" i="4"/>
  <c r="N56" i="5"/>
  <c r="M72" i="4" s="1"/>
  <c r="M220" i="5"/>
  <c r="M175" i="5"/>
  <c r="M22" i="5"/>
  <c r="L226" i="4"/>
  <c r="L72" i="4"/>
  <c r="L258" i="4"/>
  <c r="L149" i="4"/>
  <c r="L288" i="4"/>
  <c r="N57" i="5"/>
  <c r="AW62" i="5"/>
  <c r="M117" i="4" l="1"/>
  <c r="N95" i="5"/>
  <c r="AY95" i="5" s="1"/>
  <c r="N22" i="5"/>
  <c r="P58" i="5"/>
  <c r="O52" i="4" s="1"/>
  <c r="O56" i="5"/>
  <c r="N320" i="4" s="1"/>
  <c r="N143" i="5"/>
  <c r="M273" i="4"/>
  <c r="M102" i="4"/>
  <c r="M211" i="4"/>
  <c r="M365" i="4"/>
  <c r="N220" i="5"/>
  <c r="M226" i="4"/>
  <c r="M241" i="4"/>
  <c r="N62" i="5"/>
  <c r="AY62" i="5" s="1"/>
  <c r="N7" i="5"/>
  <c r="M87" i="4"/>
  <c r="M320" i="4"/>
  <c r="O57" i="5"/>
  <c r="N175" i="5"/>
  <c r="N160" i="5"/>
  <c r="N190" i="5"/>
  <c r="M196" i="4"/>
  <c r="M350" i="4"/>
  <c r="M149" i="4"/>
  <c r="M258" i="4"/>
  <c r="M303" i="4"/>
  <c r="N128" i="5"/>
  <c r="N205" i="5"/>
  <c r="N37" i="5"/>
  <c r="M134" i="4"/>
  <c r="M164" i="4"/>
  <c r="M53" i="4"/>
  <c r="M179" i="4"/>
  <c r="M288" i="4"/>
  <c r="M335" i="4"/>
  <c r="N365" i="4"/>
  <c r="N258" i="4"/>
  <c r="O95" i="5"/>
  <c r="AZ95" i="5" s="1"/>
  <c r="Q58" i="5" l="1"/>
  <c r="P52" i="4" s="1"/>
  <c r="P57" i="5"/>
  <c r="P56" i="5"/>
  <c r="O335" i="4" s="1"/>
  <c r="O190" i="5"/>
  <c r="N211" i="4"/>
  <c r="O7" i="5"/>
  <c r="N164" i="4"/>
  <c r="N179" i="4"/>
  <c r="N273" i="4"/>
  <c r="O143" i="5"/>
  <c r="O205" i="5"/>
  <c r="O220" i="5"/>
  <c r="N226" i="4"/>
  <c r="O175" i="5"/>
  <c r="O128" i="5"/>
  <c r="O22" i="5"/>
  <c r="N53" i="4"/>
  <c r="N350" i="4"/>
  <c r="N87" i="4"/>
  <c r="N149" i="4"/>
  <c r="N288" i="4"/>
  <c r="N303" i="4"/>
  <c r="N72" i="4"/>
  <c r="N335" i="4"/>
  <c r="O62" i="5"/>
  <c r="AZ62" i="5" s="1"/>
  <c r="O160" i="5"/>
  <c r="O37" i="5"/>
  <c r="N102" i="4"/>
  <c r="N241" i="4"/>
  <c r="N134" i="4"/>
  <c r="N117" i="4"/>
  <c r="N196" i="4"/>
  <c r="Q57" i="5"/>
  <c r="O134" i="4"/>
  <c r="P37" i="5"/>
  <c r="Q56" i="5"/>
  <c r="R58" i="5"/>
  <c r="Q52" i="4" s="1"/>
  <c r="O303" i="4" l="1"/>
  <c r="P220" i="5"/>
  <c r="P190" i="5"/>
  <c r="P175" i="5"/>
  <c r="P7" i="5"/>
  <c r="O179" i="4"/>
  <c r="O241" i="4"/>
  <c r="O164" i="4"/>
  <c r="O273" i="4"/>
  <c r="P143" i="5"/>
  <c r="P205" i="5"/>
  <c r="O288" i="4"/>
  <c r="O87" i="4"/>
  <c r="O196" i="4"/>
  <c r="O320" i="4"/>
  <c r="P128" i="5"/>
  <c r="P62" i="5"/>
  <c r="BA62" i="5" s="1"/>
  <c r="O149" i="4"/>
  <c r="O211" i="4"/>
  <c r="O72" i="4"/>
  <c r="O258" i="4"/>
  <c r="O350" i="4"/>
  <c r="P95" i="5"/>
  <c r="BA95" i="5" s="1"/>
  <c r="P160" i="5"/>
  <c r="P22" i="5"/>
  <c r="O53" i="4"/>
  <c r="O365" i="4"/>
  <c r="O117" i="4"/>
  <c r="O102" i="4"/>
  <c r="O226" i="4"/>
  <c r="R57" i="5"/>
  <c r="P303" i="4"/>
  <c r="P365" i="4"/>
  <c r="P320" i="4"/>
  <c r="P258" i="4"/>
  <c r="P211" i="4"/>
  <c r="P164" i="4"/>
  <c r="P87" i="4"/>
  <c r="P179" i="4"/>
  <c r="P134" i="4"/>
  <c r="P53" i="4"/>
  <c r="P350" i="4"/>
  <c r="P288" i="4"/>
  <c r="P226" i="4"/>
  <c r="P149" i="4"/>
  <c r="P102" i="4"/>
  <c r="P335" i="4"/>
  <c r="P196" i="4"/>
  <c r="P117" i="4"/>
  <c r="P72" i="4"/>
  <c r="P273" i="4"/>
  <c r="P241" i="4"/>
  <c r="Q22" i="5"/>
  <c r="Q7" i="5"/>
  <c r="Q37" i="5"/>
  <c r="Q205" i="5"/>
  <c r="Q175" i="5"/>
  <c r="Q143" i="5"/>
  <c r="Q95" i="5"/>
  <c r="BB95" i="5" s="1"/>
  <c r="Q220" i="5"/>
  <c r="Q128" i="5"/>
  <c r="Q190" i="5"/>
  <c r="Q62" i="5"/>
  <c r="Q160" i="5"/>
  <c r="R56" i="5"/>
  <c r="S58" i="5"/>
  <c r="R52" i="4" s="1"/>
  <c r="BB62" i="5" l="1"/>
  <c r="S57" i="5"/>
  <c r="Q365" i="4"/>
  <c r="Q335" i="4"/>
  <c r="Q303" i="4"/>
  <c r="Q350" i="4"/>
  <c r="Q288" i="4"/>
  <c r="Q258" i="4"/>
  <c r="Q273" i="4"/>
  <c r="Q241" i="4"/>
  <c r="Q211" i="4"/>
  <c r="Q179" i="4"/>
  <c r="Q149" i="4"/>
  <c r="Q117" i="4"/>
  <c r="Q87" i="4"/>
  <c r="Q134" i="4"/>
  <c r="Q53" i="4"/>
  <c r="Q102" i="4"/>
  <c r="Q196" i="4"/>
  <c r="Q72" i="4"/>
  <c r="Q226" i="4"/>
  <c r="Q320" i="4"/>
  <c r="Q164" i="4"/>
  <c r="R22" i="5"/>
  <c r="R7" i="5"/>
  <c r="R37" i="5"/>
  <c r="R190" i="5"/>
  <c r="R220" i="5"/>
  <c r="R175" i="5"/>
  <c r="R143" i="5"/>
  <c r="R160" i="5"/>
  <c r="R95" i="5"/>
  <c r="BC95" i="5" s="1"/>
  <c r="R62" i="5"/>
  <c r="R128" i="5"/>
  <c r="R205" i="5"/>
  <c r="T58" i="5"/>
  <c r="S52" i="4" s="1"/>
  <c r="S56" i="5"/>
  <c r="BC62" i="5" l="1"/>
  <c r="T57" i="5"/>
  <c r="R320" i="4"/>
  <c r="R350" i="4"/>
  <c r="R303" i="4"/>
  <c r="R226" i="4"/>
  <c r="R179" i="4"/>
  <c r="R102" i="4"/>
  <c r="R196" i="4"/>
  <c r="R149" i="4"/>
  <c r="R72" i="4"/>
  <c r="R335" i="4"/>
  <c r="R273" i="4"/>
  <c r="R241" i="4"/>
  <c r="R164" i="4"/>
  <c r="R117" i="4"/>
  <c r="R365" i="4"/>
  <c r="R288" i="4"/>
  <c r="R53" i="4"/>
  <c r="R258" i="4"/>
  <c r="R211" i="4"/>
  <c r="R134" i="4"/>
  <c r="R87" i="4"/>
  <c r="S7" i="5"/>
  <c r="S37" i="5"/>
  <c r="S22" i="5"/>
  <c r="S220" i="5"/>
  <c r="S190" i="5"/>
  <c r="S160" i="5"/>
  <c r="S128" i="5"/>
  <c r="S175" i="5"/>
  <c r="S143" i="5"/>
  <c r="S95" i="5"/>
  <c r="BD95" i="5" s="1"/>
  <c r="S62" i="5"/>
  <c r="S205" i="5"/>
  <c r="T56" i="5"/>
  <c r="U58" i="5"/>
  <c r="T52" i="4" s="1"/>
  <c r="BD62" i="5" l="1"/>
  <c r="U57" i="5"/>
  <c r="S350" i="4"/>
  <c r="S320" i="4"/>
  <c r="S365" i="4"/>
  <c r="S273" i="4"/>
  <c r="S335" i="4"/>
  <c r="S288" i="4"/>
  <c r="S226" i="4"/>
  <c r="S196" i="4"/>
  <c r="S164" i="4"/>
  <c r="S134" i="4"/>
  <c r="S102" i="4"/>
  <c r="S72" i="4"/>
  <c r="S149" i="4"/>
  <c r="S117" i="4"/>
  <c r="S258" i="4"/>
  <c r="S211" i="4"/>
  <c r="S87" i="4"/>
  <c r="S241" i="4"/>
  <c r="S179" i="4"/>
  <c r="S303" i="4"/>
  <c r="S53" i="4"/>
  <c r="T7" i="5"/>
  <c r="T37" i="5"/>
  <c r="T22" i="5"/>
  <c r="T62" i="5"/>
  <c r="T205" i="5"/>
  <c r="T175" i="5"/>
  <c r="T95" i="5"/>
  <c r="BE95" i="5" s="1"/>
  <c r="T190" i="5"/>
  <c r="T160" i="5"/>
  <c r="T128" i="5"/>
  <c r="T220" i="5"/>
  <c r="T143" i="5"/>
  <c r="U56" i="5"/>
  <c r="V58" i="5"/>
  <c r="U52" i="4" s="1"/>
  <c r="BE62" i="5" l="1"/>
  <c r="V57" i="5"/>
  <c r="T335" i="4"/>
  <c r="T258" i="4"/>
  <c r="T365" i="4"/>
  <c r="T288" i="4"/>
  <c r="T241" i="4"/>
  <c r="T196" i="4"/>
  <c r="T117" i="4"/>
  <c r="T72" i="4"/>
  <c r="T164" i="4"/>
  <c r="T87" i="4"/>
  <c r="T53" i="4"/>
  <c r="T320" i="4"/>
  <c r="T303" i="4"/>
  <c r="T179" i="4"/>
  <c r="T134" i="4"/>
  <c r="T350" i="4"/>
  <c r="T273" i="4"/>
  <c r="T211" i="4"/>
  <c r="T226" i="4"/>
  <c r="T149" i="4"/>
  <c r="T102" i="4"/>
  <c r="U22" i="5"/>
  <c r="U7" i="5"/>
  <c r="U37" i="5"/>
  <c r="U205" i="5"/>
  <c r="U175" i="5"/>
  <c r="U143" i="5"/>
  <c r="U95" i="5"/>
  <c r="BF95" i="5" s="1"/>
  <c r="U190" i="5"/>
  <c r="U160" i="5"/>
  <c r="U62" i="5"/>
  <c r="U128" i="5"/>
  <c r="U220" i="5"/>
  <c r="V56" i="5"/>
  <c r="W58" i="5"/>
  <c r="V52" i="4" s="1"/>
  <c r="BF62" i="5" l="1"/>
  <c r="W57" i="5"/>
  <c r="U365" i="4"/>
  <c r="U335" i="4"/>
  <c r="U303" i="4"/>
  <c r="U288" i="4"/>
  <c r="U258" i="4"/>
  <c r="U320" i="4"/>
  <c r="U241" i="4"/>
  <c r="U211" i="4"/>
  <c r="U179" i="4"/>
  <c r="U149" i="4"/>
  <c r="U117" i="4"/>
  <c r="U87" i="4"/>
  <c r="U350" i="4"/>
  <c r="U273" i="4"/>
  <c r="U164" i="4"/>
  <c r="U53" i="4"/>
  <c r="U134" i="4"/>
  <c r="U226" i="4"/>
  <c r="U102" i="4"/>
  <c r="U72" i="4"/>
  <c r="U196" i="4"/>
  <c r="V22" i="5"/>
  <c r="V7" i="5"/>
  <c r="V37" i="5"/>
  <c r="V190" i="5"/>
  <c r="V220" i="5"/>
  <c r="V128" i="5"/>
  <c r="V205" i="5"/>
  <c r="V143" i="5"/>
  <c r="V175" i="5"/>
  <c r="V160" i="5"/>
  <c r="V95" i="5"/>
  <c r="BG95" i="5" s="1"/>
  <c r="V62" i="5"/>
  <c r="X58" i="5"/>
  <c r="W52" i="4" s="1"/>
  <c r="W56" i="5"/>
  <c r="BG62" i="5" l="1"/>
  <c r="X57" i="5"/>
  <c r="V350" i="4"/>
  <c r="V303" i="4"/>
  <c r="V273" i="4"/>
  <c r="V211" i="4"/>
  <c r="V134" i="4"/>
  <c r="V87" i="4"/>
  <c r="V179" i="4"/>
  <c r="V102" i="4"/>
  <c r="V196" i="4"/>
  <c r="V149" i="4"/>
  <c r="V72" i="4"/>
  <c r="V335" i="4"/>
  <c r="V320" i="4"/>
  <c r="V258" i="4"/>
  <c r="V226" i="4"/>
  <c r="V365" i="4"/>
  <c r="V288" i="4"/>
  <c r="V241" i="4"/>
  <c r="V164" i="4"/>
  <c r="V53" i="4"/>
  <c r="V117" i="4"/>
  <c r="W7" i="5"/>
  <c r="W37" i="5"/>
  <c r="W22" i="5"/>
  <c r="W220" i="5"/>
  <c r="W190" i="5"/>
  <c r="W160" i="5"/>
  <c r="W128" i="5"/>
  <c r="W205" i="5"/>
  <c r="W143" i="5"/>
  <c r="W175" i="5"/>
  <c r="W95" i="5"/>
  <c r="BH95" i="5" s="1"/>
  <c r="W62" i="5"/>
  <c r="Y58" i="5"/>
  <c r="X52" i="4" s="1"/>
  <c r="X56" i="5"/>
  <c r="BH62" i="5" l="1"/>
  <c r="Y57" i="5"/>
  <c r="W350" i="4"/>
  <c r="W320" i="4"/>
  <c r="W273" i="4"/>
  <c r="W365" i="4"/>
  <c r="W303" i="4"/>
  <c r="W226" i="4"/>
  <c r="W196" i="4"/>
  <c r="W164" i="4"/>
  <c r="W134" i="4"/>
  <c r="W102" i="4"/>
  <c r="W72" i="4"/>
  <c r="W335" i="4"/>
  <c r="W258" i="4"/>
  <c r="W179" i="4"/>
  <c r="W149" i="4"/>
  <c r="W288" i="4"/>
  <c r="W241" i="4"/>
  <c r="W117" i="4"/>
  <c r="W211" i="4"/>
  <c r="W53" i="4"/>
  <c r="W87" i="4"/>
  <c r="X7" i="5"/>
  <c r="X37" i="5"/>
  <c r="X22" i="5"/>
  <c r="X62" i="5"/>
  <c r="X205" i="5"/>
  <c r="X175" i="5"/>
  <c r="X143" i="5"/>
  <c r="X220" i="5"/>
  <c r="X95" i="5"/>
  <c r="BI95" i="5" s="1"/>
  <c r="X160" i="5"/>
  <c r="X190" i="5"/>
  <c r="X128" i="5"/>
  <c r="Z58" i="5"/>
  <c r="Y52" i="4" s="1"/>
  <c r="Y56" i="5"/>
  <c r="BI62" i="5" l="1"/>
  <c r="Z57" i="5"/>
  <c r="X365" i="4"/>
  <c r="X320" i="4"/>
  <c r="X288" i="4"/>
  <c r="X226" i="4"/>
  <c r="X149" i="4"/>
  <c r="X102" i="4"/>
  <c r="X196" i="4"/>
  <c r="X117" i="4"/>
  <c r="X72" i="4"/>
  <c r="X53" i="4"/>
  <c r="X211" i="4"/>
  <c r="X164" i="4"/>
  <c r="X87" i="4"/>
  <c r="X303" i="4"/>
  <c r="X241" i="4"/>
  <c r="X350" i="4"/>
  <c r="X179" i="4"/>
  <c r="X273" i="4"/>
  <c r="X258" i="4"/>
  <c r="X134" i="4"/>
  <c r="X335" i="4"/>
  <c r="Y22" i="5"/>
  <c r="Y7" i="5"/>
  <c r="Y37" i="5"/>
  <c r="Y205" i="5"/>
  <c r="Y175" i="5"/>
  <c r="Y143" i="5"/>
  <c r="Y95" i="5"/>
  <c r="BJ95" i="5" s="1"/>
  <c r="Y220" i="5"/>
  <c r="Y160" i="5"/>
  <c r="Y62" i="5"/>
  <c r="Y190" i="5"/>
  <c r="Y128" i="5"/>
  <c r="Z56" i="5"/>
  <c r="AA58" i="5"/>
  <c r="Z52" i="4" s="1"/>
  <c r="BJ62" i="5" l="1"/>
  <c r="AA57" i="5"/>
  <c r="Y365" i="4"/>
  <c r="Y335" i="4"/>
  <c r="Y303" i="4"/>
  <c r="Y288" i="4"/>
  <c r="Y258" i="4"/>
  <c r="Y350" i="4"/>
  <c r="Y241" i="4"/>
  <c r="Y211" i="4"/>
  <c r="Y179" i="4"/>
  <c r="Y149" i="4"/>
  <c r="Y117" i="4"/>
  <c r="Y87" i="4"/>
  <c r="Y320" i="4"/>
  <c r="Y196" i="4"/>
  <c r="Y72" i="4"/>
  <c r="Y53" i="4"/>
  <c r="Y164" i="4"/>
  <c r="Y273" i="4"/>
  <c r="Y134" i="4"/>
  <c r="Y102" i="4"/>
  <c r="Y226" i="4"/>
  <c r="Z22" i="5"/>
  <c r="Z7" i="5"/>
  <c r="Z37" i="5"/>
  <c r="Z220" i="5"/>
  <c r="Z190" i="5"/>
  <c r="Z160" i="5"/>
  <c r="Z95" i="5"/>
  <c r="BK95" i="5" s="1"/>
  <c r="Z62" i="5"/>
  <c r="Z175" i="5"/>
  <c r="Z128" i="5"/>
  <c r="Z205" i="5"/>
  <c r="Z143" i="5"/>
  <c r="AB58" i="5"/>
  <c r="AA52" i="4" s="1"/>
  <c r="AA56" i="5"/>
  <c r="BK62" i="5" l="1"/>
  <c r="AB57" i="5"/>
  <c r="Z335" i="4"/>
  <c r="Z258" i="4"/>
  <c r="Z303" i="4"/>
  <c r="Z241" i="4"/>
  <c r="Z164" i="4"/>
  <c r="Z117" i="4"/>
  <c r="Z134" i="4"/>
  <c r="Z87" i="4"/>
  <c r="Z365" i="4"/>
  <c r="Z350" i="4"/>
  <c r="Z226" i="4"/>
  <c r="Z179" i="4"/>
  <c r="Z102" i="4"/>
  <c r="Z288" i="4"/>
  <c r="Z273" i="4"/>
  <c r="Z211" i="4"/>
  <c r="Z53" i="4"/>
  <c r="Z320" i="4"/>
  <c r="Z196" i="4"/>
  <c r="Z149" i="4"/>
  <c r="Z72" i="4"/>
  <c r="AA7" i="5"/>
  <c r="AA37" i="5"/>
  <c r="AA22" i="5"/>
  <c r="AA220" i="5"/>
  <c r="AA190" i="5"/>
  <c r="AA160" i="5"/>
  <c r="AA128" i="5"/>
  <c r="AA175" i="5"/>
  <c r="AA205" i="5"/>
  <c r="AA143" i="5"/>
  <c r="AA95" i="5"/>
  <c r="BL95" i="5" s="1"/>
  <c r="AA62" i="5"/>
  <c r="AB56" i="5"/>
  <c r="AC58" i="5"/>
  <c r="AB52" i="4" s="1"/>
  <c r="BL62" i="5" l="1"/>
  <c r="AC57" i="5"/>
  <c r="AA350" i="4"/>
  <c r="AA320" i="4"/>
  <c r="AA288" i="4"/>
  <c r="AA303" i="4"/>
  <c r="AA273" i="4"/>
  <c r="AA335" i="4"/>
  <c r="AA226" i="4"/>
  <c r="AA196" i="4"/>
  <c r="AA164" i="4"/>
  <c r="AA134" i="4"/>
  <c r="AA102" i="4"/>
  <c r="AA72" i="4"/>
  <c r="AA211" i="4"/>
  <c r="AA87" i="4"/>
  <c r="AA179" i="4"/>
  <c r="AA258" i="4"/>
  <c r="AA149" i="4"/>
  <c r="AA365" i="4"/>
  <c r="AA241" i="4"/>
  <c r="AA117" i="4"/>
  <c r="AA53" i="4"/>
  <c r="AB7" i="5"/>
  <c r="AB37" i="5"/>
  <c r="AB22" i="5"/>
  <c r="AB62" i="5"/>
  <c r="AB205" i="5"/>
  <c r="AB175" i="5"/>
  <c r="AB128" i="5"/>
  <c r="AB190" i="5"/>
  <c r="AB143" i="5"/>
  <c r="AB95" i="5"/>
  <c r="BM95" i="5" s="1"/>
  <c r="AB220" i="5"/>
  <c r="AB160" i="5"/>
  <c r="AC56" i="5"/>
  <c r="AD58" i="5"/>
  <c r="AC52" i="4" s="1"/>
  <c r="BM62" i="5" l="1"/>
  <c r="AD57" i="5"/>
  <c r="AB350" i="4"/>
  <c r="AB320" i="4"/>
  <c r="AB273" i="4"/>
  <c r="AB365" i="4"/>
  <c r="AB288" i="4"/>
  <c r="AB179" i="4"/>
  <c r="AB134" i="4"/>
  <c r="AB149" i="4"/>
  <c r="AB102" i="4"/>
  <c r="AB53" i="4"/>
  <c r="AB335" i="4"/>
  <c r="AB241" i="4"/>
  <c r="AB196" i="4"/>
  <c r="AB117" i="4"/>
  <c r="AB72" i="4"/>
  <c r="AB258" i="4"/>
  <c r="AB226" i="4"/>
  <c r="AB211" i="4"/>
  <c r="AB303" i="4"/>
  <c r="AB164" i="4"/>
  <c r="AB87" i="4"/>
  <c r="AC22" i="5"/>
  <c r="AC7" i="5"/>
  <c r="AC37" i="5"/>
  <c r="AC205" i="5"/>
  <c r="AC175" i="5"/>
  <c r="AC143" i="5"/>
  <c r="AC95" i="5"/>
  <c r="BN95" i="5" s="1"/>
  <c r="AC190" i="5"/>
  <c r="AC220" i="5"/>
  <c r="AC160" i="5"/>
  <c r="AC62" i="5"/>
  <c r="AC128" i="5"/>
  <c r="AD56" i="5"/>
  <c r="AE58" i="5"/>
  <c r="AD52" i="4" s="1"/>
  <c r="BN62" i="5" l="1"/>
  <c r="AE57" i="5"/>
  <c r="AC365" i="4"/>
  <c r="AC335" i="4"/>
  <c r="AC303" i="4"/>
  <c r="AC320" i="4"/>
  <c r="AC258" i="4"/>
  <c r="AC241" i="4"/>
  <c r="AC211" i="4"/>
  <c r="AC179" i="4"/>
  <c r="AC149" i="4"/>
  <c r="AC117" i="4"/>
  <c r="AC87" i="4"/>
  <c r="AC273" i="4"/>
  <c r="AC226" i="4"/>
  <c r="AC102" i="4"/>
  <c r="AC53" i="4"/>
  <c r="AC196" i="4"/>
  <c r="AC72" i="4"/>
  <c r="AC164" i="4"/>
  <c r="AC350" i="4"/>
  <c r="AC288" i="4"/>
  <c r="AC134" i="4"/>
  <c r="AD22" i="5"/>
  <c r="AD7" i="5"/>
  <c r="AD37" i="5"/>
  <c r="AD190" i="5"/>
  <c r="AD160" i="5"/>
  <c r="AD220" i="5"/>
  <c r="AD143" i="5"/>
  <c r="AD205" i="5"/>
  <c r="AD95" i="5"/>
  <c r="BO95" i="5" s="1"/>
  <c r="AD62" i="5"/>
  <c r="AD128" i="5"/>
  <c r="AD175" i="5"/>
  <c r="AF58" i="5"/>
  <c r="AE56" i="5"/>
  <c r="AF57" i="5" l="1"/>
  <c r="AE52" i="4"/>
  <c r="BO62" i="5"/>
  <c r="AD365" i="4"/>
  <c r="AD288" i="4"/>
  <c r="AD303" i="4"/>
  <c r="AD350" i="4"/>
  <c r="AD258" i="4"/>
  <c r="AD196" i="4"/>
  <c r="AD149" i="4"/>
  <c r="AD72" i="4"/>
  <c r="AD164" i="4"/>
  <c r="AD117" i="4"/>
  <c r="AD320" i="4"/>
  <c r="AD211" i="4"/>
  <c r="AD134" i="4"/>
  <c r="AD87" i="4"/>
  <c r="AD335" i="4"/>
  <c r="AD241" i="4"/>
  <c r="AD273" i="4"/>
  <c r="AD226" i="4"/>
  <c r="AD53" i="4"/>
  <c r="AD179" i="4"/>
  <c r="AD102" i="4"/>
  <c r="AE7" i="5"/>
  <c r="AE37" i="5"/>
  <c r="AE22" i="5"/>
  <c r="AF56" i="5"/>
  <c r="AG58" i="5"/>
  <c r="AE220" i="5"/>
  <c r="AE190" i="5"/>
  <c r="AE160" i="5"/>
  <c r="AE128" i="5"/>
  <c r="AE205" i="5"/>
  <c r="AE95" i="5"/>
  <c r="BP95" i="5" s="1"/>
  <c r="AE62" i="5"/>
  <c r="AE175" i="5"/>
  <c r="AE143" i="5"/>
  <c r="AG57" i="5" l="1"/>
  <c r="AF52" i="4"/>
  <c r="BP62" i="5"/>
  <c r="AE350" i="4"/>
  <c r="AE320" i="4"/>
  <c r="AE288" i="4"/>
  <c r="AE335" i="4"/>
  <c r="AE273" i="4"/>
  <c r="AE241" i="4"/>
  <c r="AE365" i="4"/>
  <c r="AE258" i="4"/>
  <c r="AE226" i="4"/>
  <c r="AE196" i="4"/>
  <c r="AE164" i="4"/>
  <c r="AE134" i="4"/>
  <c r="AE102" i="4"/>
  <c r="AE72" i="4"/>
  <c r="AE117" i="4"/>
  <c r="AE87" i="4"/>
  <c r="AE303" i="4"/>
  <c r="AE179" i="4"/>
  <c r="AE211" i="4"/>
  <c r="AE53" i="4"/>
  <c r="AE149" i="4"/>
  <c r="AF7" i="5"/>
  <c r="AF37" i="5"/>
  <c r="AF22" i="5"/>
  <c r="AG56" i="5"/>
  <c r="AH58" i="5"/>
  <c r="AF62" i="5"/>
  <c r="AF175" i="5"/>
  <c r="AF205" i="5"/>
  <c r="AF220" i="5"/>
  <c r="AF160" i="5"/>
  <c r="AF128" i="5"/>
  <c r="AF143" i="5"/>
  <c r="AF190" i="5"/>
  <c r="AF95" i="5"/>
  <c r="BQ95" i="5" s="1"/>
  <c r="AH57" i="5" l="1"/>
  <c r="AG52" i="4"/>
  <c r="BQ62" i="5"/>
  <c r="AF303" i="4"/>
  <c r="AF350" i="4"/>
  <c r="AF288" i="4"/>
  <c r="AF335" i="4"/>
  <c r="AF241" i="4"/>
  <c r="AF211" i="4"/>
  <c r="AF164" i="4"/>
  <c r="AF87" i="4"/>
  <c r="AF179" i="4"/>
  <c r="AF134" i="4"/>
  <c r="AF53" i="4"/>
  <c r="AF273" i="4"/>
  <c r="AF226" i="4"/>
  <c r="AF149" i="4"/>
  <c r="AF102" i="4"/>
  <c r="AF320" i="4"/>
  <c r="AF365" i="4"/>
  <c r="AF258" i="4"/>
  <c r="AF196" i="4"/>
  <c r="AF117" i="4"/>
  <c r="AF72" i="4"/>
  <c r="AG22" i="5"/>
  <c r="AG7" i="5"/>
  <c r="AG37" i="5"/>
  <c r="AI58" i="5"/>
  <c r="AH56" i="5"/>
  <c r="AG62" i="5"/>
  <c r="AG205" i="5"/>
  <c r="AG175" i="5"/>
  <c r="AG143" i="5"/>
  <c r="AG95" i="5"/>
  <c r="BR95" i="5" s="1"/>
  <c r="AG220" i="5"/>
  <c r="AG160" i="5"/>
  <c r="AG128" i="5"/>
  <c r="AG190" i="5"/>
  <c r="AI57" i="5" l="1"/>
  <c r="AH52" i="4"/>
  <c r="BR62" i="5"/>
  <c r="AG365" i="4"/>
  <c r="AG335" i="4"/>
  <c r="AG303" i="4"/>
  <c r="AG350" i="4"/>
  <c r="AG258" i="4"/>
  <c r="AG273" i="4"/>
  <c r="AG211" i="4"/>
  <c r="AG179" i="4"/>
  <c r="AG149" i="4"/>
  <c r="AG117" i="4"/>
  <c r="AG87" i="4"/>
  <c r="AG320" i="4"/>
  <c r="AG134" i="4"/>
  <c r="AG53" i="4"/>
  <c r="AG102" i="4"/>
  <c r="AG288" i="4"/>
  <c r="AG196" i="4"/>
  <c r="AG72" i="4"/>
  <c r="AG226" i="4"/>
  <c r="AG241" i="4"/>
  <c r="AG164" i="4"/>
  <c r="AH22" i="5"/>
  <c r="AH7" i="5"/>
  <c r="AH37" i="5"/>
  <c r="AH62" i="5"/>
  <c r="AH190" i="5"/>
  <c r="AH160" i="5"/>
  <c r="AH220" i="5"/>
  <c r="AH175" i="5"/>
  <c r="AH143" i="5"/>
  <c r="AH95" i="5"/>
  <c r="BS95" i="5" s="1"/>
  <c r="AH205" i="5"/>
  <c r="AH128" i="5"/>
  <c r="AJ58" i="5"/>
  <c r="AI56" i="5"/>
  <c r="AJ57" i="5" l="1"/>
  <c r="AI52" i="4"/>
  <c r="BS62" i="5"/>
  <c r="AH320" i="4"/>
  <c r="AH335" i="4"/>
  <c r="AH241" i="4"/>
  <c r="AH226" i="4"/>
  <c r="AH179" i="4"/>
  <c r="AH102" i="4"/>
  <c r="AH196" i="4"/>
  <c r="AH149" i="4"/>
  <c r="AH72" i="4"/>
  <c r="AH365" i="4"/>
  <c r="AH258" i="4"/>
  <c r="AH164" i="4"/>
  <c r="AH117" i="4"/>
  <c r="AH303" i="4"/>
  <c r="AH288" i="4"/>
  <c r="AH273" i="4"/>
  <c r="AH87" i="4"/>
  <c r="AH53" i="4"/>
  <c r="AH350" i="4"/>
  <c r="AH211" i="4"/>
  <c r="AH134" i="4"/>
  <c r="AI7" i="5"/>
  <c r="AI37" i="5"/>
  <c r="AI22" i="5"/>
  <c r="AJ56" i="5"/>
  <c r="AI62" i="5"/>
  <c r="AI220" i="5"/>
  <c r="AI190" i="5"/>
  <c r="AI160" i="5"/>
  <c r="AI128" i="5"/>
  <c r="AI175" i="5"/>
  <c r="AI143" i="5"/>
  <c r="AI95" i="5"/>
  <c r="BT95" i="5" s="1"/>
  <c r="AI205" i="5"/>
  <c r="BT62" i="5" l="1"/>
  <c r="AI350" i="4"/>
  <c r="AI320" i="4"/>
  <c r="AI288" i="4"/>
  <c r="AI365" i="4"/>
  <c r="AI273" i="4"/>
  <c r="AI241" i="4"/>
  <c r="AI226" i="4"/>
  <c r="AI196" i="4"/>
  <c r="AI164" i="4"/>
  <c r="AI134" i="4"/>
  <c r="AI102" i="4"/>
  <c r="AI72" i="4"/>
  <c r="AI303" i="4"/>
  <c r="AI149" i="4"/>
  <c r="AI117" i="4"/>
  <c r="AI211" i="4"/>
  <c r="AI87" i="4"/>
  <c r="AI258" i="4"/>
  <c r="AI335" i="4"/>
  <c r="AI179" i="4"/>
  <c r="AI53" i="4"/>
  <c r="AJ7" i="5"/>
  <c r="AJ37" i="5"/>
  <c r="AJ22" i="5"/>
  <c r="AJ62" i="5"/>
  <c r="AJ175" i="5"/>
  <c r="AJ205" i="5"/>
  <c r="AJ95" i="5"/>
  <c r="BU95" i="5" s="1"/>
  <c r="AJ190" i="5"/>
  <c r="AJ128" i="5"/>
  <c r="AJ160" i="5"/>
  <c r="AJ220" i="5"/>
  <c r="AJ143" i="5"/>
  <c r="BU62" i="5" l="1"/>
  <c r="C378" i="4" l="1"/>
  <c r="C377" i="4"/>
  <c r="C376" i="4"/>
  <c r="C375" i="4"/>
  <c r="C374" i="4"/>
  <c r="C373" i="4"/>
  <c r="C363" i="4"/>
  <c r="C362" i="4"/>
  <c r="C361" i="4"/>
  <c r="C360" i="4"/>
  <c r="C359" i="4"/>
  <c r="C358" i="4"/>
  <c r="C348" i="4"/>
  <c r="C347" i="4"/>
  <c r="C346" i="4"/>
  <c r="C345" i="4"/>
  <c r="C344" i="4"/>
  <c r="C343" i="4"/>
  <c r="C333" i="4"/>
  <c r="C332" i="4"/>
  <c r="C331" i="4"/>
  <c r="C330" i="4"/>
  <c r="C329" i="4"/>
  <c r="C328" i="4"/>
  <c r="C316" i="4"/>
  <c r="C315" i="4"/>
  <c r="C314" i="4"/>
  <c r="C313" i="4"/>
  <c r="C312" i="4"/>
  <c r="C311" i="4"/>
  <c r="C301" i="4"/>
  <c r="C300" i="4"/>
  <c r="C299" i="4"/>
  <c r="C298" i="4"/>
  <c r="C297" i="4"/>
  <c r="C296" i="4"/>
  <c r="C286" i="4"/>
  <c r="C285" i="4"/>
  <c r="C284" i="4"/>
  <c r="C283" i="4"/>
  <c r="C282" i="4"/>
  <c r="C281" i="4"/>
  <c r="C271" i="4"/>
  <c r="C270" i="4"/>
  <c r="C269" i="4"/>
  <c r="C268" i="4"/>
  <c r="C267" i="4"/>
  <c r="C266" i="4"/>
  <c r="C254" i="4"/>
  <c r="C253" i="4"/>
  <c r="C252" i="4"/>
  <c r="C251" i="4"/>
  <c r="C250" i="4"/>
  <c r="C249" i="4"/>
  <c r="C239" i="4"/>
  <c r="C238" i="4"/>
  <c r="C237" i="4"/>
  <c r="C236" i="4"/>
  <c r="C235" i="4"/>
  <c r="C234" i="4"/>
  <c r="C224" i="4"/>
  <c r="C223" i="4"/>
  <c r="C222" i="4"/>
  <c r="C221" i="4"/>
  <c r="C220" i="4"/>
  <c r="C219" i="4"/>
  <c r="C209" i="4"/>
  <c r="C208" i="4"/>
  <c r="C207" i="4"/>
  <c r="C206" i="4"/>
  <c r="C205" i="4"/>
  <c r="C204" i="4"/>
  <c r="C192" i="4"/>
  <c r="C191" i="4"/>
  <c r="C190" i="4"/>
  <c r="C189" i="4"/>
  <c r="C188" i="4"/>
  <c r="C187" i="4"/>
  <c r="C177" i="4"/>
  <c r="C176" i="4"/>
  <c r="C175" i="4"/>
  <c r="C174" i="4"/>
  <c r="C173" i="4"/>
  <c r="C172" i="4"/>
  <c r="C162" i="4"/>
  <c r="C161" i="4"/>
  <c r="C160" i="4"/>
  <c r="C159" i="4"/>
  <c r="C158" i="4"/>
  <c r="C157" i="4"/>
  <c r="C147" i="4"/>
  <c r="C146" i="4"/>
  <c r="C145" i="4"/>
  <c r="C144" i="4"/>
  <c r="C143" i="4"/>
  <c r="C142" i="4"/>
  <c r="C130" i="4"/>
  <c r="C129" i="4"/>
  <c r="C128" i="4"/>
  <c r="C127" i="4"/>
  <c r="C126" i="4"/>
  <c r="C125" i="4"/>
  <c r="C115" i="4"/>
  <c r="C114" i="4"/>
  <c r="C113" i="4"/>
  <c r="C112" i="4"/>
  <c r="C111" i="4"/>
  <c r="C110" i="4"/>
  <c r="C100" i="4"/>
  <c r="C99" i="4"/>
  <c r="C98" i="4"/>
  <c r="C97" i="4"/>
  <c r="C96" i="4"/>
  <c r="C95" i="4"/>
  <c r="C85" i="4"/>
  <c r="C84" i="4"/>
  <c r="C83" i="4"/>
  <c r="C82" i="4"/>
  <c r="C81" i="4"/>
  <c r="C80" i="4"/>
  <c r="C66" i="4"/>
  <c r="C65" i="4"/>
  <c r="C64" i="4"/>
  <c r="C63" i="4"/>
  <c r="C62" i="4"/>
  <c r="AG63" i="4" l="1"/>
  <c r="AC63" i="4"/>
  <c r="Y63" i="4"/>
  <c r="U63" i="4"/>
  <c r="Q63" i="4"/>
  <c r="M63" i="4"/>
  <c r="I63" i="4"/>
  <c r="AI63" i="4"/>
  <c r="AE63" i="4"/>
  <c r="AA63" i="4"/>
  <c r="W63" i="4"/>
  <c r="S63" i="4"/>
  <c r="O63" i="4"/>
  <c r="K63" i="4"/>
  <c r="G63" i="4"/>
  <c r="AH63" i="4"/>
  <c r="Z63" i="4"/>
  <c r="R63" i="4"/>
  <c r="J63" i="4"/>
  <c r="AF63" i="4"/>
  <c r="X63" i="4"/>
  <c r="P63" i="4"/>
  <c r="H63" i="4"/>
  <c r="T63" i="4"/>
  <c r="AD63" i="4"/>
  <c r="V63" i="4"/>
  <c r="N63" i="4"/>
  <c r="F63" i="4"/>
  <c r="AB63" i="4"/>
  <c r="L63" i="4"/>
  <c r="AI64" i="4"/>
  <c r="AE64" i="4"/>
  <c r="AA64" i="4"/>
  <c r="W64" i="4"/>
  <c r="S64" i="4"/>
  <c r="O64" i="4"/>
  <c r="K64" i="4"/>
  <c r="G64" i="4"/>
  <c r="AG64" i="4"/>
  <c r="AC64" i="4"/>
  <c r="Y64" i="4"/>
  <c r="U64" i="4"/>
  <c r="Q64" i="4"/>
  <c r="M64" i="4"/>
  <c r="I64" i="4"/>
  <c r="AB64" i="4"/>
  <c r="T64" i="4"/>
  <c r="L64" i="4"/>
  <c r="AH64" i="4"/>
  <c r="Z64" i="4"/>
  <c r="R64" i="4"/>
  <c r="J64" i="4"/>
  <c r="V64" i="4"/>
  <c r="F64" i="4"/>
  <c r="AF64" i="4"/>
  <c r="X64" i="4"/>
  <c r="P64" i="4"/>
  <c r="H64" i="4"/>
  <c r="AD64" i="4"/>
  <c r="N64" i="4"/>
  <c r="AG65" i="4"/>
  <c r="AC65" i="4"/>
  <c r="Y65" i="4"/>
  <c r="U65" i="4"/>
  <c r="Q65" i="4"/>
  <c r="M65" i="4"/>
  <c r="I65" i="4"/>
  <c r="AI65" i="4"/>
  <c r="AE65" i="4"/>
  <c r="AA65" i="4"/>
  <c r="W65" i="4"/>
  <c r="S65" i="4"/>
  <c r="O65" i="4"/>
  <c r="K65" i="4"/>
  <c r="G65" i="4"/>
  <c r="AD65" i="4"/>
  <c r="V65" i="4"/>
  <c r="N65" i="4"/>
  <c r="F65" i="4"/>
  <c r="AB65" i="4"/>
  <c r="T65" i="4"/>
  <c r="L65" i="4"/>
  <c r="X65" i="4"/>
  <c r="H65" i="4"/>
  <c r="AH65" i="4"/>
  <c r="Z65" i="4"/>
  <c r="R65" i="4"/>
  <c r="J65" i="4"/>
  <c r="AF65" i="4"/>
  <c r="P65" i="4"/>
  <c r="AI62" i="4"/>
  <c r="AE62" i="4"/>
  <c r="AA62" i="4"/>
  <c r="W62" i="4"/>
  <c r="S62" i="4"/>
  <c r="O62" i="4"/>
  <c r="K62" i="4"/>
  <c r="G62" i="4"/>
  <c r="AG62" i="4"/>
  <c r="AC62" i="4"/>
  <c r="Y62" i="4"/>
  <c r="U62" i="4"/>
  <c r="Q62" i="4"/>
  <c r="M62" i="4"/>
  <c r="I62" i="4"/>
  <c r="AF62" i="4"/>
  <c r="X62" i="4"/>
  <c r="P62" i="4"/>
  <c r="H62" i="4"/>
  <c r="AD62" i="4"/>
  <c r="V62" i="4"/>
  <c r="N62" i="4"/>
  <c r="F62" i="4"/>
  <c r="AH62" i="4"/>
  <c r="Z62" i="4"/>
  <c r="J62" i="4"/>
  <c r="AB62" i="4"/>
  <c r="T62" i="4"/>
  <c r="L62" i="4"/>
  <c r="R62" i="4"/>
  <c r="AI66" i="4"/>
  <c r="AE66" i="4"/>
  <c r="AA66" i="4"/>
  <c r="W66" i="4"/>
  <c r="S66" i="4"/>
  <c r="O66" i="4"/>
  <c r="K66" i="4"/>
  <c r="G66" i="4"/>
  <c r="AH66" i="4"/>
  <c r="AG66" i="4"/>
  <c r="AC66" i="4"/>
  <c r="Y66" i="4"/>
  <c r="U66" i="4"/>
  <c r="Q66" i="4"/>
  <c r="M66" i="4"/>
  <c r="I66" i="4"/>
  <c r="AF66" i="4"/>
  <c r="X66" i="4"/>
  <c r="P66" i="4"/>
  <c r="H66" i="4"/>
  <c r="AD66" i="4"/>
  <c r="V66" i="4"/>
  <c r="N66" i="4"/>
  <c r="F66" i="4"/>
  <c r="R66" i="4"/>
  <c r="J66" i="4"/>
  <c r="AB66" i="4"/>
  <c r="T66" i="4"/>
  <c r="L66" i="4"/>
  <c r="Z66" i="4"/>
  <c r="C372" i="4"/>
  <c r="C371" i="4"/>
  <c r="C370" i="4"/>
  <c r="C369" i="4"/>
  <c r="C368" i="4"/>
  <c r="C367" i="4"/>
  <c r="C366" i="4"/>
  <c r="C357" i="4"/>
  <c r="C356" i="4"/>
  <c r="C355" i="4"/>
  <c r="C354" i="4"/>
  <c r="C353" i="4"/>
  <c r="C352" i="4"/>
  <c r="C351" i="4"/>
  <c r="C342" i="4"/>
  <c r="C341" i="4"/>
  <c r="C340" i="4"/>
  <c r="C339" i="4"/>
  <c r="C338" i="4"/>
  <c r="C337" i="4"/>
  <c r="C336" i="4"/>
  <c r="C327" i="4"/>
  <c r="C326" i="4"/>
  <c r="C325" i="4"/>
  <c r="C324" i="4"/>
  <c r="C323" i="4"/>
  <c r="C322" i="4"/>
  <c r="C321" i="4"/>
  <c r="C310" i="4"/>
  <c r="C309" i="4"/>
  <c r="C308" i="4"/>
  <c r="C307" i="4"/>
  <c r="C306" i="4"/>
  <c r="C305" i="4"/>
  <c r="C304" i="4"/>
  <c r="C295" i="4"/>
  <c r="C294" i="4"/>
  <c r="C293" i="4"/>
  <c r="C292" i="4"/>
  <c r="C291" i="4"/>
  <c r="C290" i="4"/>
  <c r="C289" i="4"/>
  <c r="C280" i="4"/>
  <c r="C279" i="4"/>
  <c r="C278" i="4"/>
  <c r="C277" i="4"/>
  <c r="C276" i="4"/>
  <c r="C275" i="4"/>
  <c r="C274" i="4"/>
  <c r="C265" i="4"/>
  <c r="C264" i="4"/>
  <c r="C263" i="4"/>
  <c r="C262" i="4"/>
  <c r="C261" i="4"/>
  <c r="C260" i="4"/>
  <c r="C259" i="4"/>
  <c r="C248" i="4"/>
  <c r="C247" i="4"/>
  <c r="C246" i="4"/>
  <c r="C245" i="4"/>
  <c r="C244" i="4"/>
  <c r="C243" i="4"/>
  <c r="C242" i="4"/>
  <c r="C233" i="4"/>
  <c r="C232" i="4"/>
  <c r="C231" i="4"/>
  <c r="C230" i="4"/>
  <c r="C229" i="4"/>
  <c r="C228" i="4"/>
  <c r="C227" i="4"/>
  <c r="C218" i="4"/>
  <c r="C217" i="4"/>
  <c r="C216" i="4"/>
  <c r="C215" i="4"/>
  <c r="C214" i="4"/>
  <c r="C213" i="4"/>
  <c r="C212" i="4"/>
  <c r="C203" i="4"/>
  <c r="C202" i="4"/>
  <c r="C201" i="4"/>
  <c r="C200" i="4"/>
  <c r="C199" i="4"/>
  <c r="C198" i="4"/>
  <c r="C197" i="4"/>
  <c r="C186" i="4"/>
  <c r="C185" i="4"/>
  <c r="C184" i="4"/>
  <c r="C183" i="4"/>
  <c r="C182" i="4"/>
  <c r="C181" i="4"/>
  <c r="C180" i="4"/>
  <c r="C171" i="4"/>
  <c r="C170" i="4"/>
  <c r="C169" i="4"/>
  <c r="C168" i="4"/>
  <c r="C167" i="4"/>
  <c r="C166" i="4"/>
  <c r="C165" i="4"/>
  <c r="C156" i="4"/>
  <c r="C155" i="4"/>
  <c r="C154" i="4"/>
  <c r="C153" i="4"/>
  <c r="C152" i="4"/>
  <c r="C151" i="4"/>
  <c r="C150" i="4"/>
  <c r="C141" i="4"/>
  <c r="C140" i="4"/>
  <c r="C139" i="4"/>
  <c r="C138" i="4"/>
  <c r="C137" i="4"/>
  <c r="C136" i="4"/>
  <c r="C135" i="4"/>
  <c r="C124" i="4"/>
  <c r="C123" i="4"/>
  <c r="C122" i="4"/>
  <c r="C121" i="4"/>
  <c r="C120" i="4"/>
  <c r="C119" i="4"/>
  <c r="C118" i="4"/>
  <c r="C109" i="4"/>
  <c r="C108" i="4"/>
  <c r="C107" i="4"/>
  <c r="C106" i="4"/>
  <c r="C105" i="4"/>
  <c r="C104" i="4"/>
  <c r="C103" i="4"/>
  <c r="C94" i="4"/>
  <c r="C93" i="4"/>
  <c r="C92" i="4"/>
  <c r="C91" i="4"/>
  <c r="C90" i="4"/>
  <c r="C89" i="4"/>
  <c r="C88" i="4"/>
  <c r="C79" i="4"/>
  <c r="C78" i="4"/>
  <c r="C77" i="4"/>
  <c r="C76" i="4"/>
  <c r="C75" i="4"/>
  <c r="C74" i="4"/>
  <c r="C73" i="4"/>
  <c r="C54" i="4"/>
  <c r="C61" i="4"/>
  <c r="C60" i="4"/>
  <c r="C59" i="4"/>
  <c r="C58" i="4"/>
  <c r="C57" i="4"/>
  <c r="C56" i="4"/>
  <c r="C55" i="4"/>
  <c r="AG57" i="4" l="1"/>
  <c r="AC57" i="4"/>
  <c r="Y57" i="4"/>
  <c r="U57" i="4"/>
  <c r="Q57" i="4"/>
  <c r="M57" i="4"/>
  <c r="I57" i="4"/>
  <c r="AI57" i="4"/>
  <c r="AE57" i="4"/>
  <c r="AA57" i="4"/>
  <c r="W57" i="4"/>
  <c r="S57" i="4"/>
  <c r="O57" i="4"/>
  <c r="K57" i="4"/>
  <c r="G57" i="4"/>
  <c r="AB57" i="4"/>
  <c r="T57" i="4"/>
  <c r="L57" i="4"/>
  <c r="AF57" i="4"/>
  <c r="P57" i="4"/>
  <c r="AH57" i="4"/>
  <c r="Z57" i="4"/>
  <c r="R57" i="4"/>
  <c r="J57" i="4"/>
  <c r="X57" i="4"/>
  <c r="H57" i="4"/>
  <c r="AD57" i="4"/>
  <c r="V57" i="4"/>
  <c r="N57" i="4"/>
  <c r="F57" i="4"/>
  <c r="AG61" i="4"/>
  <c r="AC61" i="4"/>
  <c r="Y61" i="4"/>
  <c r="U61" i="4"/>
  <c r="Q61" i="4"/>
  <c r="M61" i="4"/>
  <c r="I61" i="4"/>
  <c r="AI61" i="4"/>
  <c r="AE61" i="4"/>
  <c r="AA61" i="4"/>
  <c r="W61" i="4"/>
  <c r="S61" i="4"/>
  <c r="O61" i="4"/>
  <c r="K61" i="4"/>
  <c r="G61" i="4"/>
  <c r="AD61" i="4"/>
  <c r="V61" i="4"/>
  <c r="N61" i="4"/>
  <c r="F61" i="4"/>
  <c r="AB61" i="4"/>
  <c r="T61" i="4"/>
  <c r="L61" i="4"/>
  <c r="AF61" i="4"/>
  <c r="P61" i="4"/>
  <c r="AH61" i="4"/>
  <c r="Z61" i="4"/>
  <c r="R61" i="4"/>
  <c r="J61" i="4"/>
  <c r="X61" i="4"/>
  <c r="H61" i="4"/>
  <c r="AI58" i="4"/>
  <c r="AE58" i="4"/>
  <c r="AA58" i="4"/>
  <c r="W58" i="4"/>
  <c r="S58" i="4"/>
  <c r="O58" i="4"/>
  <c r="K58" i="4"/>
  <c r="G58" i="4"/>
  <c r="AG58" i="4"/>
  <c r="AC58" i="4"/>
  <c r="Y58" i="4"/>
  <c r="U58" i="4"/>
  <c r="Q58" i="4"/>
  <c r="M58" i="4"/>
  <c r="I58" i="4"/>
  <c r="AF58" i="4"/>
  <c r="X58" i="4"/>
  <c r="P58" i="4"/>
  <c r="AD58" i="4"/>
  <c r="V58" i="4"/>
  <c r="N58" i="4"/>
  <c r="F58" i="4"/>
  <c r="AH58" i="4"/>
  <c r="R58" i="4"/>
  <c r="AB58" i="4"/>
  <c r="T58" i="4"/>
  <c r="L58" i="4"/>
  <c r="Z58" i="4"/>
  <c r="J58" i="4"/>
  <c r="H58" i="4"/>
  <c r="AF54" i="4"/>
  <c r="AB54" i="4"/>
  <c r="X54" i="4"/>
  <c r="T54" i="4"/>
  <c r="P54" i="4"/>
  <c r="L54" i="4"/>
  <c r="H54" i="4"/>
  <c r="G54" i="4"/>
  <c r="AD54" i="4"/>
  <c r="V54" i="4"/>
  <c r="N54" i="4"/>
  <c r="F54" i="4"/>
  <c r="AI54" i="4"/>
  <c r="AE54" i="4"/>
  <c r="AA54" i="4"/>
  <c r="W54" i="4"/>
  <c r="S54" i="4"/>
  <c r="O54" i="4"/>
  <c r="K54" i="4"/>
  <c r="AH54" i="4"/>
  <c r="Z54" i="4"/>
  <c r="R54" i="4"/>
  <c r="J54" i="4"/>
  <c r="Y54" i="4"/>
  <c r="I54" i="4"/>
  <c r="AG54" i="4"/>
  <c r="AC54" i="4"/>
  <c r="U54" i="4"/>
  <c r="Q54" i="4"/>
  <c r="M54" i="4"/>
  <c r="AG55" i="4"/>
  <c r="AC55" i="4"/>
  <c r="AI55" i="4"/>
  <c r="AE55" i="4"/>
  <c r="AF55" i="4"/>
  <c r="Z55" i="4"/>
  <c r="V55" i="4"/>
  <c r="R55" i="4"/>
  <c r="N55" i="4"/>
  <c r="J55" i="4"/>
  <c r="F55" i="4"/>
  <c r="AB55" i="4"/>
  <c r="T55" i="4"/>
  <c r="L55" i="4"/>
  <c r="H55" i="4"/>
  <c r="AD55" i="4"/>
  <c r="Y55" i="4"/>
  <c r="U55" i="4"/>
  <c r="Q55" i="4"/>
  <c r="M55" i="4"/>
  <c r="I55" i="4"/>
  <c r="X55" i="4"/>
  <c r="P55" i="4"/>
  <c r="AA55" i="4"/>
  <c r="K55" i="4"/>
  <c r="AH55" i="4"/>
  <c r="W55" i="4"/>
  <c r="G55" i="4"/>
  <c r="S55" i="4"/>
  <c r="O55" i="4"/>
  <c r="AG59" i="4"/>
  <c r="AC59" i="4"/>
  <c r="Y59" i="4"/>
  <c r="U59" i="4"/>
  <c r="Q59" i="4"/>
  <c r="M59" i="4"/>
  <c r="I59" i="4"/>
  <c r="AI59" i="4"/>
  <c r="AE59" i="4"/>
  <c r="AA59" i="4"/>
  <c r="W59" i="4"/>
  <c r="S59" i="4"/>
  <c r="O59" i="4"/>
  <c r="K59" i="4"/>
  <c r="G59" i="4"/>
  <c r="AH59" i="4"/>
  <c r="Z59" i="4"/>
  <c r="R59" i="4"/>
  <c r="J59" i="4"/>
  <c r="AF59" i="4"/>
  <c r="X59" i="4"/>
  <c r="P59" i="4"/>
  <c r="H59" i="4"/>
  <c r="T59" i="4"/>
  <c r="AD59" i="4"/>
  <c r="V59" i="4"/>
  <c r="N59" i="4"/>
  <c r="F59" i="4"/>
  <c r="AB59" i="4"/>
  <c r="L59" i="4"/>
  <c r="AI56" i="4"/>
  <c r="AE56" i="4"/>
  <c r="AA56" i="4"/>
  <c r="W56" i="4"/>
  <c r="S56" i="4"/>
  <c r="O56" i="4"/>
  <c r="K56" i="4"/>
  <c r="G56" i="4"/>
  <c r="AG56" i="4"/>
  <c r="AC56" i="4"/>
  <c r="Y56" i="4"/>
  <c r="U56" i="4"/>
  <c r="Q56" i="4"/>
  <c r="M56" i="4"/>
  <c r="I56" i="4"/>
  <c r="AH56" i="4"/>
  <c r="Z56" i="4"/>
  <c r="R56" i="4"/>
  <c r="J56" i="4"/>
  <c r="AD56" i="4"/>
  <c r="N56" i="4"/>
  <c r="AF56" i="4"/>
  <c r="X56" i="4"/>
  <c r="P56" i="4"/>
  <c r="H56" i="4"/>
  <c r="V56" i="4"/>
  <c r="F56" i="4"/>
  <c r="AB56" i="4"/>
  <c r="T56" i="4"/>
  <c r="L56" i="4"/>
  <c r="AI60" i="4"/>
  <c r="AE60" i="4"/>
  <c r="AA60" i="4"/>
  <c r="W60" i="4"/>
  <c r="S60" i="4"/>
  <c r="O60" i="4"/>
  <c r="K60" i="4"/>
  <c r="G60" i="4"/>
  <c r="AG60" i="4"/>
  <c r="AC60" i="4"/>
  <c r="Y60" i="4"/>
  <c r="U60" i="4"/>
  <c r="Q60" i="4"/>
  <c r="M60" i="4"/>
  <c r="I60" i="4"/>
  <c r="AB60" i="4"/>
  <c r="T60" i="4"/>
  <c r="L60" i="4"/>
  <c r="AH60" i="4"/>
  <c r="Z60" i="4"/>
  <c r="R60" i="4"/>
  <c r="J60" i="4"/>
  <c r="V60" i="4"/>
  <c r="F60" i="4"/>
  <c r="AF60" i="4"/>
  <c r="X60" i="4"/>
  <c r="P60" i="4"/>
  <c r="H60" i="4"/>
  <c r="AD60" i="4"/>
  <c r="N60" i="4"/>
  <c r="I8" i="6"/>
  <c r="J8" i="6" s="1"/>
  <c r="K8" i="6" s="1"/>
  <c r="L8" i="6" s="1"/>
  <c r="C49" i="5" l="1"/>
  <c r="C48" i="5"/>
  <c r="C47" i="5"/>
  <c r="C46" i="5"/>
  <c r="C45" i="5"/>
  <c r="C44" i="5"/>
  <c r="C43" i="5"/>
  <c r="C42" i="5"/>
  <c r="C41" i="5"/>
  <c r="C40" i="5"/>
  <c r="C39" i="5"/>
  <c r="C38" i="5"/>
  <c r="C34" i="5"/>
  <c r="C33" i="5"/>
  <c r="C32" i="5"/>
  <c r="C31" i="5"/>
  <c r="C30" i="5"/>
  <c r="C29" i="5"/>
  <c r="C28" i="5"/>
  <c r="C27" i="5"/>
  <c r="C26" i="5"/>
  <c r="C25" i="5"/>
  <c r="C24" i="5"/>
  <c r="C23" i="5"/>
  <c r="C19" i="5"/>
  <c r="C18" i="5"/>
  <c r="C17" i="5"/>
  <c r="C16" i="5"/>
  <c r="C15" i="5"/>
  <c r="C14" i="5"/>
  <c r="C13" i="5"/>
  <c r="C12" i="5"/>
  <c r="C11" i="5"/>
  <c r="C10" i="5"/>
  <c r="C9" i="5"/>
  <c r="C8" i="5"/>
  <c r="C64" i="5" l="1"/>
  <c r="C97" i="5" s="1"/>
  <c r="D97" i="5"/>
  <c r="C65" i="5"/>
  <c r="C98" i="5" s="1"/>
  <c r="D98" i="5"/>
  <c r="C66" i="5"/>
  <c r="C99" i="5" s="1"/>
  <c r="D99" i="5"/>
  <c r="C67" i="5"/>
  <c r="C100" i="5" s="1"/>
  <c r="D100" i="5"/>
  <c r="C68" i="5"/>
  <c r="C101" i="5" s="1"/>
  <c r="D101" i="5"/>
  <c r="C69" i="5"/>
  <c r="C102" i="5" s="1"/>
  <c r="D102" i="5"/>
  <c r="C70" i="5"/>
  <c r="C103" i="5" s="1"/>
  <c r="D103" i="5"/>
  <c r="C71" i="5"/>
  <c r="C104" i="5" s="1"/>
  <c r="D104" i="5"/>
  <c r="C72" i="5"/>
  <c r="C105" i="5" s="1"/>
  <c r="D105" i="5"/>
  <c r="C73" i="5"/>
  <c r="C106" i="5" s="1"/>
  <c r="D106" i="5"/>
  <c r="C74" i="5"/>
  <c r="C107" i="5" s="1"/>
  <c r="D107" i="5"/>
  <c r="C75" i="5"/>
  <c r="C108" i="5" s="1"/>
  <c r="D108" i="5"/>
  <c r="C76" i="5"/>
  <c r="C109" i="5" s="1"/>
  <c r="D109" i="5"/>
  <c r="C77" i="5"/>
  <c r="C110" i="5" s="1"/>
  <c r="D110" i="5"/>
  <c r="C78" i="5"/>
  <c r="C111" i="5" s="1"/>
  <c r="D111" i="5"/>
  <c r="C79" i="5"/>
  <c r="C112" i="5" s="1"/>
  <c r="D112" i="5"/>
  <c r="C80" i="5"/>
  <c r="C113" i="5" s="1"/>
  <c r="D113" i="5"/>
  <c r="C81" i="5"/>
  <c r="C114" i="5" s="1"/>
  <c r="D114" i="5"/>
  <c r="C82" i="5"/>
  <c r="C115" i="5" s="1"/>
  <c r="D115" i="5"/>
  <c r="C83" i="5"/>
  <c r="C116" i="5" s="1"/>
  <c r="D116" i="5"/>
  <c r="C84" i="5"/>
  <c r="C117" i="5" s="1"/>
  <c r="D117" i="5"/>
  <c r="C85" i="5"/>
  <c r="C118" i="5" s="1"/>
  <c r="D118" i="5"/>
  <c r="C86" i="5"/>
  <c r="C119" i="5" s="1"/>
  <c r="D119" i="5"/>
  <c r="C87" i="5"/>
  <c r="C120" i="5" s="1"/>
  <c r="D120" i="5"/>
  <c r="C88" i="5"/>
  <c r="C121" i="5" s="1"/>
  <c r="D121" i="5"/>
  <c r="C89" i="5"/>
  <c r="C122" i="5" s="1"/>
  <c r="D122" i="5"/>
  <c r="C90" i="5"/>
  <c r="C123" i="5" s="1"/>
  <c r="D123" i="5"/>
  <c r="C91" i="5"/>
  <c r="C124" i="5" s="1"/>
  <c r="D124" i="5"/>
  <c r="C92" i="5"/>
  <c r="D125" i="5"/>
  <c r="C125" i="5" l="1"/>
  <c r="H12" i="6"/>
  <c r="I8" i="4" s="1"/>
  <c r="J8" i="4" s="1"/>
  <c r="BV90" i="5" l="1"/>
  <c r="BV86" i="5"/>
  <c r="BV82" i="5"/>
  <c r="BV78" i="5"/>
  <c r="BV74" i="5"/>
  <c r="BV70" i="5"/>
  <c r="BV66" i="5"/>
  <c r="BV88" i="5"/>
  <c r="BV80" i="5"/>
  <c r="BV72" i="5"/>
  <c r="BV68" i="5"/>
  <c r="BV91" i="5"/>
  <c r="BV83" i="5"/>
  <c r="BV75" i="5"/>
  <c r="BV67" i="5"/>
  <c r="BV89" i="5"/>
  <c r="BV85" i="5"/>
  <c r="BV81" i="5"/>
  <c r="BV77" i="5"/>
  <c r="BV73" i="5"/>
  <c r="BV69" i="5"/>
  <c r="BV65" i="5"/>
  <c r="BV92" i="5"/>
  <c r="BV84" i="5"/>
  <c r="BV76" i="5"/>
  <c r="BV64" i="5"/>
  <c r="BV87" i="5"/>
  <c r="BV79" i="5"/>
  <c r="BV71" i="5"/>
  <c r="BV63" i="5"/>
  <c r="AF59" i="5"/>
  <c r="AK91" i="5"/>
  <c r="AK87" i="5"/>
  <c r="AK83" i="5"/>
  <c r="AK79" i="5"/>
  <c r="AK75" i="5"/>
  <c r="AK71" i="5"/>
  <c r="AK67" i="5"/>
  <c r="AK89" i="5"/>
  <c r="AK81" i="5"/>
  <c r="AK73" i="5"/>
  <c r="AK65" i="5"/>
  <c r="AK88" i="5"/>
  <c r="AK80" i="5"/>
  <c r="AK72" i="5"/>
  <c r="AK64" i="5"/>
  <c r="AK90" i="5"/>
  <c r="AK86" i="5"/>
  <c r="AK82" i="5"/>
  <c r="AK78" i="5"/>
  <c r="AK74" i="5"/>
  <c r="AK70" i="5"/>
  <c r="AK66" i="5"/>
  <c r="AK85" i="5"/>
  <c r="AK77" i="5"/>
  <c r="AK69" i="5"/>
  <c r="AK92" i="5"/>
  <c r="AK84" i="5"/>
  <c r="AK76" i="5"/>
  <c r="AK68" i="5"/>
  <c r="G59" i="5"/>
  <c r="H59" i="5"/>
  <c r="I59" i="5"/>
  <c r="J59" i="5"/>
  <c r="L59" i="5"/>
  <c r="K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K63" i="5" l="1"/>
  <c r="H14" i="6"/>
  <c r="H13" i="6"/>
  <c r="B1" i="11" l="1"/>
  <c r="F14" i="11"/>
  <c r="F15" i="11"/>
  <c r="B15" i="11"/>
  <c r="F16" i="11"/>
  <c r="F17" i="11"/>
  <c r="F18" i="11"/>
  <c r="F19" i="11"/>
  <c r="F20" i="11"/>
  <c r="F21" i="11"/>
  <c r="F22" i="11"/>
  <c r="F23" i="11"/>
  <c r="F24" i="11"/>
  <c r="F25" i="11"/>
  <c r="F26" i="11"/>
  <c r="B1" i="4"/>
  <c r="G165" i="5" l="1"/>
  <c r="G210" i="5"/>
  <c r="G195" i="5"/>
  <c r="H180" i="5"/>
  <c r="H225" i="5"/>
  <c r="H210" i="5"/>
  <c r="H165" i="5"/>
  <c r="G225" i="5"/>
  <c r="H195" i="5"/>
  <c r="G180" i="5"/>
  <c r="AJ180" i="5"/>
  <c r="AJ195" i="5"/>
  <c r="AJ210" i="5"/>
  <c r="AJ225" i="5"/>
  <c r="AJ165" i="5"/>
  <c r="Y225" i="5"/>
  <c r="J210" i="5"/>
  <c r="AD180" i="5"/>
  <c r="AD195" i="5"/>
  <c r="AF225" i="5"/>
  <c r="O225" i="5"/>
  <c r="M210" i="5"/>
  <c r="Y180" i="5"/>
  <c r="Y210" i="5"/>
  <c r="AD225" i="5"/>
  <c r="N180" i="5"/>
  <c r="S195" i="5"/>
  <c r="AG210" i="5"/>
  <c r="AF180" i="5"/>
  <c r="J165" i="5"/>
  <c r="S210" i="5"/>
  <c r="AG195" i="5"/>
  <c r="Y165" i="5"/>
  <c r="Y195" i="5"/>
  <c r="J225" i="5"/>
  <c r="AF195" i="5"/>
  <c r="AB180" i="5"/>
  <c r="AG180" i="5"/>
  <c r="T225" i="5"/>
  <c r="L195" i="5"/>
  <c r="N225" i="5"/>
  <c r="AE210" i="5"/>
  <c r="J180" i="5"/>
  <c r="AF165" i="5"/>
  <c r="S180" i="5"/>
  <c r="J195" i="5"/>
  <c r="O195" i="5"/>
  <c r="AG225" i="5"/>
  <c r="AB225" i="5"/>
  <c r="AC225" i="5"/>
  <c r="N195" i="5"/>
  <c r="L210" i="5"/>
  <c r="AD210" i="5"/>
  <c r="AB210" i="5"/>
  <c r="T210" i="5"/>
  <c r="L225" i="5"/>
  <c r="AH210" i="5"/>
  <c r="AE225" i="5"/>
  <c r="AC210" i="5"/>
  <c r="U210" i="5"/>
  <c r="AC180" i="5"/>
  <c r="V210" i="5"/>
  <c r="R210" i="5"/>
  <c r="U180" i="5"/>
  <c r="I195" i="5"/>
  <c r="O180" i="5"/>
  <c r="I225" i="5"/>
  <c r="AA225" i="5"/>
  <c r="R225" i="5"/>
  <c r="AA195" i="5"/>
  <c r="M180" i="5"/>
  <c r="M225" i="5"/>
  <c r="L165" i="5"/>
  <c r="AG165" i="5"/>
  <c r="S165" i="5"/>
  <c r="S225" i="5"/>
  <c r="T195" i="5"/>
  <c r="L180" i="5"/>
  <c r="X165" i="5"/>
  <c r="T165" i="5"/>
  <c r="I165" i="5"/>
  <c r="X180" i="5"/>
  <c r="AI165" i="5"/>
  <c r="P165" i="5"/>
  <c r="X210" i="5"/>
  <c r="AI210" i="5"/>
  <c r="P210" i="5"/>
  <c r="AA210" i="5"/>
  <c r="P195" i="5"/>
  <c r="AB195" i="5"/>
  <c r="O210" i="5"/>
  <c r="T180" i="5"/>
  <c r="AE180" i="5"/>
  <c r="AE165" i="5"/>
  <c r="AC195" i="5"/>
  <c r="M165" i="5"/>
  <c r="M195" i="5"/>
  <c r="Z165" i="5"/>
  <c r="AD165" i="5"/>
  <c r="AD27" i="5" s="1"/>
  <c r="O165" i="5"/>
  <c r="AH225" i="5"/>
  <c r="V225" i="5"/>
  <c r="AH180" i="5"/>
  <c r="V180" i="5"/>
  <c r="Z195" i="5"/>
  <c r="AA165" i="5"/>
  <c r="K195" i="5"/>
  <c r="AE195" i="5"/>
  <c r="R180" i="5"/>
  <c r="I210" i="5"/>
  <c r="N165" i="5"/>
  <c r="V195" i="5"/>
  <c r="AB165" i="5"/>
  <c r="Z180" i="5"/>
  <c r="Q165" i="5"/>
  <c r="K165" i="5"/>
  <c r="U225" i="5"/>
  <c r="U195" i="5"/>
  <c r="AH165" i="5"/>
  <c r="Z225" i="5"/>
  <c r="X195" i="5"/>
  <c r="U165" i="5"/>
  <c r="AI225" i="5"/>
  <c r="AI195" i="5"/>
  <c r="Q195" i="5"/>
  <c r="W180" i="5"/>
  <c r="N210" i="5"/>
  <c r="AH195" i="5"/>
  <c r="R195" i="5"/>
  <c r="I180" i="5"/>
  <c r="X225" i="5"/>
  <c r="K225" i="5"/>
  <c r="AA180" i="5"/>
  <c r="W225" i="5"/>
  <c r="K180" i="5"/>
  <c r="K210" i="5"/>
  <c r="W165" i="5"/>
  <c r="Z210" i="5"/>
  <c r="AC165" i="5"/>
  <c r="AC27" i="5" s="1"/>
  <c r="AI180" i="5"/>
  <c r="Q180" i="5"/>
  <c r="W210" i="5"/>
  <c r="V165" i="5"/>
  <c r="W195" i="5"/>
  <c r="AF210" i="5"/>
  <c r="R165" i="5"/>
  <c r="P180" i="5"/>
  <c r="Q225" i="5"/>
  <c r="P225" i="5"/>
  <c r="Q210" i="5"/>
  <c r="G171" i="5"/>
  <c r="H216" i="5"/>
  <c r="H201" i="5"/>
  <c r="G231" i="5"/>
  <c r="H171" i="5"/>
  <c r="H231" i="5"/>
  <c r="G216" i="5"/>
  <c r="G201" i="5"/>
  <c r="G186" i="5"/>
  <c r="H186" i="5"/>
  <c r="AJ186" i="5"/>
  <c r="AJ171" i="5"/>
  <c r="AJ216" i="5"/>
  <c r="AJ231" i="5"/>
  <c r="AJ201" i="5"/>
  <c r="Y201" i="5"/>
  <c r="AF231" i="5"/>
  <c r="J171" i="5"/>
  <c r="J186" i="5"/>
  <c r="AD216" i="5"/>
  <c r="AF216" i="5"/>
  <c r="AG216" i="5"/>
  <c r="M231" i="5"/>
  <c r="AF186" i="5"/>
  <c r="Y216" i="5"/>
  <c r="Y231" i="5"/>
  <c r="J231" i="5"/>
  <c r="AD186" i="5"/>
  <c r="T186" i="5"/>
  <c r="J201" i="5"/>
  <c r="S231" i="5"/>
  <c r="Y171" i="5"/>
  <c r="AF201" i="5"/>
  <c r="AD231" i="5"/>
  <c r="N201" i="5"/>
  <c r="S216" i="5"/>
  <c r="AB201" i="5"/>
  <c r="O186" i="5"/>
  <c r="AF171" i="5"/>
  <c r="AC231" i="5"/>
  <c r="O201" i="5"/>
  <c r="O231" i="5"/>
  <c r="AB216" i="5"/>
  <c r="AE231" i="5"/>
  <c r="T216" i="5"/>
  <c r="L216" i="5"/>
  <c r="V201" i="5"/>
  <c r="Z231" i="5"/>
  <c r="Y186" i="5"/>
  <c r="AB186" i="5"/>
  <c r="S186" i="5"/>
  <c r="AG201" i="5"/>
  <c r="AB231" i="5"/>
  <c r="M186" i="5"/>
  <c r="AD201" i="5"/>
  <c r="N216" i="5"/>
  <c r="AG186" i="5"/>
  <c r="AE186" i="5"/>
  <c r="AE201" i="5"/>
  <c r="L186" i="5"/>
  <c r="N186" i="5"/>
  <c r="J216" i="5"/>
  <c r="S201" i="5"/>
  <c r="L231" i="5"/>
  <c r="N231" i="5"/>
  <c r="AC216" i="5"/>
  <c r="M171" i="5"/>
  <c r="M216" i="5"/>
  <c r="M201" i="5"/>
  <c r="Q216" i="5"/>
  <c r="L201" i="5"/>
  <c r="AE171" i="5"/>
  <c r="AC201" i="5"/>
  <c r="R231" i="5"/>
  <c r="U231" i="5"/>
  <c r="R201" i="5"/>
  <c r="R186" i="5"/>
  <c r="AA216" i="5"/>
  <c r="AI186" i="5"/>
  <c r="L171" i="5"/>
  <c r="AH231" i="5"/>
  <c r="X186" i="5"/>
  <c r="AG171" i="5"/>
  <c r="O216" i="5"/>
  <c r="AA231" i="5"/>
  <c r="AA201" i="5"/>
  <c r="U216" i="5"/>
  <c r="I216" i="5"/>
  <c r="N171" i="5"/>
  <c r="T171" i="5"/>
  <c r="Z186" i="5"/>
  <c r="AB171" i="5"/>
  <c r="S171" i="5"/>
  <c r="AA171" i="5"/>
  <c r="P231" i="5"/>
  <c r="AI231" i="5"/>
  <c r="P201" i="5"/>
  <c r="U186" i="5"/>
  <c r="AA186" i="5"/>
  <c r="I201" i="5"/>
  <c r="AH171" i="5"/>
  <c r="X171" i="5"/>
  <c r="V171" i="5"/>
  <c r="I171" i="5"/>
  <c r="X201" i="5"/>
  <c r="Z216" i="5"/>
  <c r="K171" i="5"/>
  <c r="AI171" i="5"/>
  <c r="P186" i="5"/>
  <c r="K186" i="5"/>
  <c r="Q186" i="5"/>
  <c r="Q201" i="5"/>
  <c r="T231" i="5"/>
  <c r="T201" i="5"/>
  <c r="R216" i="5"/>
  <c r="U201" i="5"/>
  <c r="I186" i="5"/>
  <c r="Z171" i="5"/>
  <c r="V231" i="5"/>
  <c r="AH186" i="5"/>
  <c r="X216" i="5"/>
  <c r="V186" i="5"/>
  <c r="Q171" i="5"/>
  <c r="I231" i="5"/>
  <c r="W171" i="5"/>
  <c r="P171" i="5"/>
  <c r="AH201" i="5"/>
  <c r="AC171" i="5"/>
  <c r="K201" i="5"/>
  <c r="W201" i="5"/>
  <c r="K216" i="5"/>
  <c r="AG231" i="5"/>
  <c r="AC186" i="5"/>
  <c r="AD171" i="5"/>
  <c r="X231" i="5"/>
  <c r="V216" i="5"/>
  <c r="R171" i="5"/>
  <c r="W186" i="5"/>
  <c r="W216" i="5"/>
  <c r="Z201" i="5"/>
  <c r="AH216" i="5"/>
  <c r="U171" i="5"/>
  <c r="AI216" i="5"/>
  <c r="W231" i="5"/>
  <c r="K231" i="5"/>
  <c r="O171" i="5"/>
  <c r="AI201" i="5"/>
  <c r="Q231" i="5"/>
  <c r="P216" i="5"/>
  <c r="AE216" i="5"/>
  <c r="G227" i="5"/>
  <c r="G182" i="5"/>
  <c r="H197" i="5"/>
  <c r="H227" i="5"/>
  <c r="H182" i="5"/>
  <c r="H167" i="5"/>
  <c r="G167" i="5"/>
  <c r="H212" i="5"/>
  <c r="G212" i="5"/>
  <c r="G197" i="5"/>
  <c r="AJ167" i="5"/>
  <c r="AJ197" i="5"/>
  <c r="AJ227" i="5"/>
  <c r="AJ212" i="5"/>
  <c r="AJ182" i="5"/>
  <c r="Y182" i="5"/>
  <c r="Y212" i="5"/>
  <c r="Y227" i="5"/>
  <c r="AG182" i="5"/>
  <c r="AD182" i="5"/>
  <c r="J197" i="5"/>
  <c r="AD227" i="5"/>
  <c r="J167" i="5"/>
  <c r="O227" i="5"/>
  <c r="AF167" i="5"/>
  <c r="AF182" i="5"/>
  <c r="S227" i="5"/>
  <c r="AD197" i="5"/>
  <c r="AG197" i="5"/>
  <c r="J212" i="5"/>
  <c r="AD212" i="5"/>
  <c r="O182" i="5"/>
  <c r="AF227" i="5"/>
  <c r="N227" i="5"/>
  <c r="O197" i="5"/>
  <c r="L182" i="5"/>
  <c r="AE197" i="5"/>
  <c r="J182" i="5"/>
  <c r="T197" i="5"/>
  <c r="S197" i="5"/>
  <c r="S182" i="5"/>
  <c r="S212" i="5"/>
  <c r="O212" i="5"/>
  <c r="AB212" i="5"/>
  <c r="N212" i="5"/>
  <c r="T182" i="5"/>
  <c r="T212" i="5"/>
  <c r="M197" i="5"/>
  <c r="AB182" i="5"/>
  <c r="AB197" i="5"/>
  <c r="AB227" i="5"/>
  <c r="AE182" i="5"/>
  <c r="Y197" i="5"/>
  <c r="J227" i="5"/>
  <c r="AG227" i="5"/>
  <c r="AG212" i="5"/>
  <c r="N182" i="5"/>
  <c r="L197" i="5"/>
  <c r="AF197" i="5"/>
  <c r="AC182" i="5"/>
  <c r="R197" i="5"/>
  <c r="Y167" i="5"/>
  <c r="I197" i="5"/>
  <c r="V182" i="5"/>
  <c r="Z197" i="5"/>
  <c r="I182" i="5"/>
  <c r="N197" i="5"/>
  <c r="L212" i="5"/>
  <c r="AC227" i="5"/>
  <c r="U212" i="5"/>
  <c r="R227" i="5"/>
  <c r="X227" i="5"/>
  <c r="M182" i="5"/>
  <c r="I212" i="5"/>
  <c r="AH167" i="5"/>
  <c r="X167" i="5"/>
  <c r="V167" i="5"/>
  <c r="N167" i="5"/>
  <c r="Z167" i="5"/>
  <c r="AD167" i="5"/>
  <c r="AH212" i="5"/>
  <c r="V212" i="5"/>
  <c r="AB167" i="5"/>
  <c r="AF212" i="5"/>
  <c r="AE227" i="5"/>
  <c r="R182" i="5"/>
  <c r="M167" i="5"/>
  <c r="AI197" i="5"/>
  <c r="AH197" i="5"/>
  <c r="S167" i="5"/>
  <c r="Q167" i="5"/>
  <c r="P167" i="5"/>
  <c r="U167" i="5"/>
  <c r="AC167" i="5"/>
  <c r="U182" i="5"/>
  <c r="U227" i="5"/>
  <c r="X197" i="5"/>
  <c r="Z212" i="5"/>
  <c r="M227" i="5"/>
  <c r="I227" i="5"/>
  <c r="L167" i="5"/>
  <c r="AG167" i="5"/>
  <c r="Z227" i="5"/>
  <c r="W167" i="5"/>
  <c r="K167" i="5"/>
  <c r="AH227" i="5"/>
  <c r="X182" i="5"/>
  <c r="Z182" i="5"/>
  <c r="R167" i="5"/>
  <c r="AA167" i="5"/>
  <c r="AI212" i="5"/>
  <c r="P182" i="5"/>
  <c r="AA182" i="5"/>
  <c r="Q212" i="5"/>
  <c r="U197" i="5"/>
  <c r="AC212" i="5"/>
  <c r="M212" i="5"/>
  <c r="T167" i="5"/>
  <c r="I167" i="5"/>
  <c r="V197" i="5"/>
  <c r="AI167" i="5"/>
  <c r="AE212" i="5"/>
  <c r="L227" i="5"/>
  <c r="AE167" i="5"/>
  <c r="AC197" i="5"/>
  <c r="Q182" i="5"/>
  <c r="Q197" i="5"/>
  <c r="P227" i="5"/>
  <c r="AA227" i="5"/>
  <c r="K212" i="5"/>
  <c r="W212" i="5"/>
  <c r="K197" i="5"/>
  <c r="O167" i="5"/>
  <c r="AI182" i="5"/>
  <c r="X212" i="5"/>
  <c r="AI227" i="5"/>
  <c r="P212" i="5"/>
  <c r="AA212" i="5"/>
  <c r="W182" i="5"/>
  <c r="K227" i="5"/>
  <c r="Q227" i="5"/>
  <c r="R212" i="5"/>
  <c r="V227" i="5"/>
  <c r="AA197" i="5"/>
  <c r="W197" i="5"/>
  <c r="T227" i="5"/>
  <c r="W227" i="5"/>
  <c r="P197" i="5"/>
  <c r="AH182" i="5"/>
  <c r="K182" i="5"/>
  <c r="G223" i="5"/>
  <c r="H208" i="5"/>
  <c r="G178" i="5"/>
  <c r="G163" i="5"/>
  <c r="G208" i="5"/>
  <c r="G193" i="5"/>
  <c r="H193" i="5"/>
  <c r="H163" i="5"/>
  <c r="H223" i="5"/>
  <c r="H178" i="5"/>
  <c r="AJ193" i="5"/>
  <c r="AJ223" i="5"/>
  <c r="AJ208" i="5"/>
  <c r="AJ178" i="5"/>
  <c r="AJ163" i="5"/>
  <c r="M208" i="5"/>
  <c r="M223" i="5"/>
  <c r="J208" i="5"/>
  <c r="AG223" i="5"/>
  <c r="N208" i="5"/>
  <c r="AF178" i="5"/>
  <c r="Y178" i="5"/>
  <c r="AD193" i="5"/>
  <c r="AF208" i="5"/>
  <c r="AB178" i="5"/>
  <c r="M178" i="5"/>
  <c r="Y193" i="5"/>
  <c r="J223" i="5"/>
  <c r="J178" i="5"/>
  <c r="O208" i="5"/>
  <c r="AB223" i="5"/>
  <c r="AG208" i="5"/>
  <c r="AB193" i="5"/>
  <c r="O223" i="5"/>
  <c r="AB208" i="5"/>
  <c r="AE193" i="5"/>
  <c r="K193" i="5"/>
  <c r="Y223" i="5"/>
  <c r="AD178" i="5"/>
  <c r="O193" i="5"/>
  <c r="AF163" i="5"/>
  <c r="S178" i="5"/>
  <c r="AG193" i="5"/>
  <c r="AE208" i="5"/>
  <c r="AE178" i="5"/>
  <c r="Y208" i="5"/>
  <c r="AD223" i="5"/>
  <c r="J193" i="5"/>
  <c r="N193" i="5"/>
  <c r="S208" i="5"/>
  <c r="AG178" i="5"/>
  <c r="S223" i="5"/>
  <c r="AD208" i="5"/>
  <c r="T178" i="5"/>
  <c r="AF193" i="5"/>
  <c r="S193" i="5"/>
  <c r="L193" i="5"/>
  <c r="L178" i="5"/>
  <c r="T193" i="5"/>
  <c r="AC178" i="5"/>
  <c r="U193" i="5"/>
  <c r="U223" i="5"/>
  <c r="I208" i="5"/>
  <c r="AI178" i="5"/>
  <c r="X163" i="5"/>
  <c r="AF223" i="5"/>
  <c r="T208" i="5"/>
  <c r="R193" i="5"/>
  <c r="V193" i="5"/>
  <c r="AH163" i="5"/>
  <c r="V163" i="5"/>
  <c r="Z163" i="5"/>
  <c r="I163" i="5"/>
  <c r="AB163" i="5"/>
  <c r="O178" i="5"/>
  <c r="N178" i="5"/>
  <c r="AE163" i="5"/>
  <c r="AC193" i="5"/>
  <c r="U178" i="5"/>
  <c r="I193" i="5"/>
  <c r="N163" i="5"/>
  <c r="AD163" i="5"/>
  <c r="Z208" i="5"/>
  <c r="W163" i="5"/>
  <c r="X193" i="5"/>
  <c r="P178" i="5"/>
  <c r="L208" i="5"/>
  <c r="AC208" i="5"/>
  <c r="X223" i="5"/>
  <c r="M193" i="5"/>
  <c r="M163" i="5"/>
  <c r="Z223" i="5"/>
  <c r="AH178" i="5"/>
  <c r="X208" i="5"/>
  <c r="V178" i="5"/>
  <c r="AI163" i="5"/>
  <c r="P163" i="5"/>
  <c r="AH193" i="5"/>
  <c r="R163" i="5"/>
  <c r="AI223" i="5"/>
  <c r="Q208" i="5"/>
  <c r="W208" i="5"/>
  <c r="Q223" i="5"/>
  <c r="J163" i="5"/>
  <c r="N223" i="5"/>
  <c r="T223" i="5"/>
  <c r="L223" i="5"/>
  <c r="AC223" i="5"/>
  <c r="R178" i="5"/>
  <c r="R208" i="5"/>
  <c r="AA178" i="5"/>
  <c r="R223" i="5"/>
  <c r="AA208" i="5"/>
  <c r="AI208" i="5"/>
  <c r="P193" i="5"/>
  <c r="I223" i="5"/>
  <c r="L163" i="5"/>
  <c r="AH223" i="5"/>
  <c r="X178" i="5"/>
  <c r="O163" i="5"/>
  <c r="V223" i="5"/>
  <c r="Z193" i="5"/>
  <c r="I178" i="5"/>
  <c r="V208" i="5"/>
  <c r="W178" i="5"/>
  <c r="W223" i="5"/>
  <c r="AE223" i="5"/>
  <c r="U208" i="5"/>
  <c r="Q163" i="5"/>
  <c r="K163" i="5"/>
  <c r="AH208" i="5"/>
  <c r="AA163" i="5"/>
  <c r="U163" i="5"/>
  <c r="K223" i="5"/>
  <c r="Q193" i="5"/>
  <c r="T163" i="5"/>
  <c r="Z178" i="5"/>
  <c r="AG163" i="5"/>
  <c r="P208" i="5"/>
  <c r="AI193" i="5"/>
  <c r="AA193" i="5"/>
  <c r="P223" i="5"/>
  <c r="K208" i="5"/>
  <c r="Y163" i="5"/>
  <c r="S163" i="5"/>
  <c r="W193" i="5"/>
  <c r="Q178" i="5"/>
  <c r="AA223" i="5"/>
  <c r="K178" i="5"/>
  <c r="AC163" i="5"/>
  <c r="G230" i="5"/>
  <c r="H230" i="5"/>
  <c r="H185" i="5"/>
  <c r="G185" i="5"/>
  <c r="G200" i="5"/>
  <c r="G215" i="5"/>
  <c r="H215" i="5"/>
  <c r="G170" i="5"/>
  <c r="H170" i="5"/>
  <c r="H200" i="5"/>
  <c r="AJ200" i="5"/>
  <c r="AJ185" i="5"/>
  <c r="AJ230" i="5"/>
  <c r="AJ170" i="5"/>
  <c r="AJ215" i="5"/>
  <c r="AF170" i="5"/>
  <c r="AF200" i="5"/>
  <c r="AF215" i="5"/>
  <c r="Y185" i="5"/>
  <c r="Y215" i="5"/>
  <c r="AD200" i="5"/>
  <c r="J200" i="5"/>
  <c r="AD185" i="5"/>
  <c r="N230" i="5"/>
  <c r="AF185" i="5"/>
  <c r="Y200" i="5"/>
  <c r="J215" i="5"/>
  <c r="J170" i="5"/>
  <c r="AF230" i="5"/>
  <c r="AG215" i="5"/>
  <c r="S185" i="5"/>
  <c r="S200" i="5"/>
  <c r="S230" i="5"/>
  <c r="S215" i="5"/>
  <c r="O215" i="5"/>
  <c r="AB200" i="5"/>
  <c r="Y230" i="5"/>
  <c r="J185" i="5"/>
  <c r="AD215" i="5"/>
  <c r="AB185" i="5"/>
  <c r="AG200" i="5"/>
  <c r="N185" i="5"/>
  <c r="J230" i="5"/>
  <c r="T215" i="5"/>
  <c r="O185" i="5"/>
  <c r="O200" i="5"/>
  <c r="AB215" i="5"/>
  <c r="M215" i="5"/>
  <c r="O230" i="5"/>
  <c r="AG230" i="5"/>
  <c r="AB230" i="5"/>
  <c r="L215" i="5"/>
  <c r="L230" i="5"/>
  <c r="Y170" i="5"/>
  <c r="M185" i="5"/>
  <c r="L200" i="5"/>
  <c r="AE185" i="5"/>
  <c r="N215" i="5"/>
  <c r="L185" i="5"/>
  <c r="AE200" i="5"/>
  <c r="U200" i="5"/>
  <c r="AH200" i="5"/>
  <c r="R185" i="5"/>
  <c r="I185" i="5"/>
  <c r="M170" i="5"/>
  <c r="I215" i="5"/>
  <c r="X170" i="5"/>
  <c r="V170" i="5"/>
  <c r="AG185" i="5"/>
  <c r="AE230" i="5"/>
  <c r="U185" i="5"/>
  <c r="AC200" i="5"/>
  <c r="U230" i="5"/>
  <c r="X185" i="5"/>
  <c r="V200" i="5"/>
  <c r="M200" i="5"/>
  <c r="AI185" i="5"/>
  <c r="O170" i="5"/>
  <c r="S170" i="5"/>
  <c r="T230" i="5"/>
  <c r="AC215" i="5"/>
  <c r="R215" i="5"/>
  <c r="AA185" i="5"/>
  <c r="M230" i="5"/>
  <c r="I200" i="5"/>
  <c r="L170" i="5"/>
  <c r="Z230" i="5"/>
  <c r="AH230" i="5"/>
  <c r="X230" i="5"/>
  <c r="Z200" i="5"/>
  <c r="Z215" i="5"/>
  <c r="AI200" i="5"/>
  <c r="AI230" i="5"/>
  <c r="P200" i="5"/>
  <c r="AI215" i="5"/>
  <c r="P230" i="5"/>
  <c r="AA230" i="5"/>
  <c r="T185" i="5"/>
  <c r="AD230" i="5"/>
  <c r="T200" i="5"/>
  <c r="AE215" i="5"/>
  <c r="AC230" i="5"/>
  <c r="Z170" i="5"/>
  <c r="X200" i="5"/>
  <c r="W170" i="5"/>
  <c r="Q170" i="5"/>
  <c r="AH215" i="5"/>
  <c r="U170" i="5"/>
  <c r="AC170" i="5"/>
  <c r="P185" i="5"/>
  <c r="AA200" i="5"/>
  <c r="Q230" i="5"/>
  <c r="W200" i="5"/>
  <c r="Q200" i="5"/>
  <c r="W215" i="5"/>
  <c r="K200" i="5"/>
  <c r="N200" i="5"/>
  <c r="AC185" i="5"/>
  <c r="V215" i="5"/>
  <c r="R200" i="5"/>
  <c r="AE170" i="5"/>
  <c r="AH170" i="5"/>
  <c r="T170" i="5"/>
  <c r="AD170" i="5"/>
  <c r="X215" i="5"/>
  <c r="AB170" i="5"/>
  <c r="W230" i="5"/>
  <c r="AA170" i="5"/>
  <c r="Q185" i="5"/>
  <c r="K185" i="5"/>
  <c r="K230" i="5"/>
  <c r="R230" i="5"/>
  <c r="P215" i="5"/>
  <c r="I170" i="5"/>
  <c r="AG170" i="5"/>
  <c r="Z185" i="5"/>
  <c r="U215" i="5"/>
  <c r="I230" i="5"/>
  <c r="AI170" i="5"/>
  <c r="P170" i="5"/>
  <c r="V230" i="5"/>
  <c r="R170" i="5"/>
  <c r="AA215" i="5"/>
  <c r="AH185" i="5"/>
  <c r="W185" i="5"/>
  <c r="Q215" i="5"/>
  <c r="K215" i="5"/>
  <c r="N170" i="5"/>
  <c r="K170" i="5"/>
  <c r="V185" i="5"/>
  <c r="H181" i="5"/>
  <c r="G211" i="5"/>
  <c r="H166" i="5"/>
  <c r="G166" i="5"/>
  <c r="G181" i="5"/>
  <c r="H196" i="5"/>
  <c r="G226" i="5"/>
  <c r="G196" i="5"/>
  <c r="H211" i="5"/>
  <c r="H226" i="5"/>
  <c r="AJ166" i="5"/>
  <c r="AJ196" i="5"/>
  <c r="AJ211" i="5"/>
  <c r="AJ181" i="5"/>
  <c r="AJ226" i="5"/>
  <c r="AF181" i="5"/>
  <c r="Y196" i="5"/>
  <c r="AF166" i="5"/>
  <c r="AF196" i="5"/>
  <c r="O226" i="5"/>
  <c r="S196" i="5"/>
  <c r="I226" i="5"/>
  <c r="AF226" i="5"/>
  <c r="M196" i="5"/>
  <c r="J226" i="5"/>
  <c r="AD226" i="5"/>
  <c r="AF211" i="5"/>
  <c r="AB181" i="5"/>
  <c r="Y211" i="5"/>
  <c r="T226" i="5"/>
  <c r="AD196" i="5"/>
  <c r="J166" i="5"/>
  <c r="AG181" i="5"/>
  <c r="AG226" i="5"/>
  <c r="O181" i="5"/>
  <c r="AE181" i="5"/>
  <c r="Y226" i="5"/>
  <c r="AB226" i="5"/>
  <c r="AG211" i="5"/>
  <c r="O211" i="5"/>
  <c r="L181" i="5"/>
  <c r="AE166" i="5"/>
  <c r="N226" i="5"/>
  <c r="T211" i="5"/>
  <c r="L196" i="5"/>
  <c r="N181" i="5"/>
  <c r="N211" i="5"/>
  <c r="AB196" i="5"/>
  <c r="J181" i="5"/>
  <c r="O196" i="5"/>
  <c r="S226" i="5"/>
  <c r="AD181" i="5"/>
  <c r="AB211" i="5"/>
  <c r="T196" i="5"/>
  <c r="AC196" i="5"/>
  <c r="R226" i="5"/>
  <c r="U181" i="5"/>
  <c r="Z226" i="5"/>
  <c r="M226" i="5"/>
  <c r="V166" i="5"/>
  <c r="Y181" i="5"/>
  <c r="J196" i="5"/>
  <c r="AG196" i="5"/>
  <c r="L226" i="5"/>
  <c r="T181" i="5"/>
  <c r="AE226" i="5"/>
  <c r="Y166" i="5"/>
  <c r="R181" i="5"/>
  <c r="R211" i="5"/>
  <c r="I196" i="5"/>
  <c r="AI211" i="5"/>
  <c r="I181" i="5"/>
  <c r="P181" i="5"/>
  <c r="V226" i="5"/>
  <c r="AE211" i="5"/>
  <c r="AE196" i="5"/>
  <c r="U226" i="5"/>
  <c r="M181" i="5"/>
  <c r="M166" i="5"/>
  <c r="P226" i="5"/>
  <c r="AH166" i="5"/>
  <c r="X166" i="5"/>
  <c r="V181" i="5"/>
  <c r="Z211" i="5"/>
  <c r="Z196" i="5"/>
  <c r="AA166" i="5"/>
  <c r="Q181" i="5"/>
  <c r="K196" i="5"/>
  <c r="U211" i="5"/>
  <c r="L166" i="5"/>
  <c r="AH211" i="5"/>
  <c r="X226" i="5"/>
  <c r="Z181" i="5"/>
  <c r="V196" i="5"/>
  <c r="V211" i="5"/>
  <c r="Q166" i="5"/>
  <c r="AI166" i="5"/>
  <c r="P166" i="5"/>
  <c r="AI196" i="5"/>
  <c r="AD211" i="5"/>
  <c r="L211" i="5"/>
  <c r="R196" i="5"/>
  <c r="AA196" i="5"/>
  <c r="M211" i="5"/>
  <c r="I211" i="5"/>
  <c r="Z166" i="5"/>
  <c r="AH181" i="5"/>
  <c r="I166" i="5"/>
  <c r="AG166" i="5"/>
  <c r="K166" i="5"/>
  <c r="S211" i="5"/>
  <c r="AC211" i="5"/>
  <c r="N166" i="5"/>
  <c r="O166" i="5"/>
  <c r="AH196" i="5"/>
  <c r="R166" i="5"/>
  <c r="AI181" i="5"/>
  <c r="P196" i="5"/>
  <c r="Q211" i="5"/>
  <c r="J211" i="5"/>
  <c r="T166" i="5"/>
  <c r="AH226" i="5"/>
  <c r="W166" i="5"/>
  <c r="AC166" i="5"/>
  <c r="P211" i="5"/>
  <c r="AA226" i="5"/>
  <c r="AA181" i="5"/>
  <c r="AA211" i="5"/>
  <c r="W181" i="5"/>
  <c r="W211" i="5"/>
  <c r="W226" i="5"/>
  <c r="K211" i="5"/>
  <c r="S181" i="5"/>
  <c r="AC181" i="5"/>
  <c r="U196" i="5"/>
  <c r="AD166" i="5"/>
  <c r="S166" i="5"/>
  <c r="X196" i="5"/>
  <c r="W196" i="5"/>
  <c r="N196" i="5"/>
  <c r="Q196" i="5"/>
  <c r="K181" i="5"/>
  <c r="Q226" i="5"/>
  <c r="AC226" i="5"/>
  <c r="X181" i="5"/>
  <c r="X211" i="5"/>
  <c r="U166" i="5"/>
  <c r="AI226" i="5"/>
  <c r="K226" i="5"/>
  <c r="AB166" i="5"/>
  <c r="G207" i="5"/>
  <c r="G192" i="5"/>
  <c r="G222" i="5"/>
  <c r="H192" i="5"/>
  <c r="H162" i="5"/>
  <c r="H207" i="5"/>
  <c r="G177" i="5"/>
  <c r="G162" i="5"/>
  <c r="H177" i="5"/>
  <c r="H222" i="5"/>
  <c r="AJ162" i="5"/>
  <c r="AJ192" i="5"/>
  <c r="AJ177" i="5"/>
  <c r="AJ222" i="5"/>
  <c r="AJ207" i="5"/>
  <c r="Y192" i="5"/>
  <c r="M207" i="5"/>
  <c r="AD222" i="5"/>
  <c r="J207" i="5"/>
  <c r="J162" i="5"/>
  <c r="AF207" i="5"/>
  <c r="Y222" i="5"/>
  <c r="M192" i="5"/>
  <c r="J222" i="5"/>
  <c r="AD207" i="5"/>
  <c r="J192" i="5"/>
  <c r="T207" i="5"/>
  <c r="T177" i="5"/>
  <c r="M177" i="5"/>
  <c r="Y207" i="5"/>
  <c r="M222" i="5"/>
  <c r="AF222" i="5"/>
  <c r="O192" i="5"/>
  <c r="AG222" i="5"/>
  <c r="O177" i="5"/>
  <c r="AG177" i="5"/>
  <c r="O222" i="5"/>
  <c r="AD192" i="5"/>
  <c r="AD177" i="5"/>
  <c r="AB222" i="5"/>
  <c r="AC177" i="5"/>
  <c r="AC207" i="5"/>
  <c r="N207" i="5"/>
  <c r="L177" i="5"/>
  <c r="Z222" i="5"/>
  <c r="AE192" i="5"/>
  <c r="AF177" i="5"/>
  <c r="S207" i="5"/>
  <c r="AF192" i="5"/>
  <c r="Y177" i="5"/>
  <c r="J177" i="5"/>
  <c r="AG207" i="5"/>
  <c r="S192" i="5"/>
  <c r="O207" i="5"/>
  <c r="AB192" i="5"/>
  <c r="T192" i="5"/>
  <c r="T222" i="5"/>
  <c r="AF162" i="5"/>
  <c r="S222" i="5"/>
  <c r="AB177" i="5"/>
  <c r="N192" i="5"/>
  <c r="AE222" i="5"/>
  <c r="AC192" i="5"/>
  <c r="AC222" i="5"/>
  <c r="AA207" i="5"/>
  <c r="AB207" i="5"/>
  <c r="AE207" i="5"/>
  <c r="AE177" i="5"/>
  <c r="N177" i="5"/>
  <c r="AH192" i="5"/>
  <c r="L192" i="5"/>
  <c r="AE162" i="5"/>
  <c r="U222" i="5"/>
  <c r="U192" i="5"/>
  <c r="R222" i="5"/>
  <c r="R207" i="5"/>
  <c r="AA177" i="5"/>
  <c r="I222" i="5"/>
  <c r="X207" i="5"/>
  <c r="V192" i="5"/>
  <c r="I162" i="5"/>
  <c r="L207" i="5"/>
  <c r="X177" i="5"/>
  <c r="V207" i="5"/>
  <c r="AA222" i="5"/>
  <c r="P207" i="5"/>
  <c r="L162" i="5"/>
  <c r="N162" i="5"/>
  <c r="Z162" i="5"/>
  <c r="X192" i="5"/>
  <c r="O162" i="5"/>
  <c r="K162" i="5"/>
  <c r="AI162" i="5"/>
  <c r="AH207" i="5"/>
  <c r="P177" i="5"/>
  <c r="AA192" i="5"/>
  <c r="N222" i="5"/>
  <c r="R192" i="5"/>
  <c r="U177" i="5"/>
  <c r="M162" i="5"/>
  <c r="I207" i="5"/>
  <c r="AH162" i="5"/>
  <c r="V162" i="5"/>
  <c r="T162" i="5"/>
  <c r="V222" i="5"/>
  <c r="AG162" i="5"/>
  <c r="S162" i="5"/>
  <c r="X222" i="5"/>
  <c r="P222" i="5"/>
  <c r="K222" i="5"/>
  <c r="W192" i="5"/>
  <c r="W177" i="5"/>
  <c r="W207" i="5"/>
  <c r="K177" i="5"/>
  <c r="S177" i="5"/>
  <c r="AG192" i="5"/>
  <c r="Y162" i="5"/>
  <c r="U207" i="5"/>
  <c r="I177" i="5"/>
  <c r="W162" i="5"/>
  <c r="Q162" i="5"/>
  <c r="AI177" i="5"/>
  <c r="AB162" i="5"/>
  <c r="Z177" i="5"/>
  <c r="AC162" i="5"/>
  <c r="Q222" i="5"/>
  <c r="L222" i="5"/>
  <c r="R177" i="5"/>
  <c r="Z192" i="5"/>
  <c r="R162" i="5"/>
  <c r="AI207" i="5"/>
  <c r="Q192" i="5"/>
  <c r="W222" i="5"/>
  <c r="I192" i="5"/>
  <c r="X162" i="5"/>
  <c r="AH222" i="5"/>
  <c r="P162" i="5"/>
  <c r="AH177" i="5"/>
  <c r="V177" i="5"/>
  <c r="U162" i="5"/>
  <c r="P192" i="5"/>
  <c r="K192" i="5"/>
  <c r="Q207" i="5"/>
  <c r="AD162" i="5"/>
  <c r="AA162" i="5"/>
  <c r="AI192" i="5"/>
  <c r="AI222" i="5"/>
  <c r="Z207" i="5"/>
  <c r="Q177" i="5"/>
  <c r="K207" i="5"/>
  <c r="H169" i="5"/>
  <c r="G169" i="5"/>
  <c r="H229" i="5"/>
  <c r="G184" i="5"/>
  <c r="H214" i="5"/>
  <c r="H199" i="5"/>
  <c r="G229" i="5"/>
  <c r="G214" i="5"/>
  <c r="G199" i="5"/>
  <c r="H184" i="5"/>
  <c r="AJ184" i="5"/>
  <c r="AJ214" i="5"/>
  <c r="AJ229" i="5"/>
  <c r="AJ169" i="5"/>
  <c r="AJ199" i="5"/>
  <c r="M184" i="5"/>
  <c r="M199" i="5"/>
  <c r="AD229" i="5"/>
  <c r="T229" i="5"/>
  <c r="S184" i="5"/>
  <c r="O229" i="5"/>
  <c r="AG184" i="5"/>
  <c r="AG199" i="5"/>
  <c r="J169" i="5"/>
  <c r="AF214" i="5"/>
  <c r="J184" i="5"/>
  <c r="J199" i="5"/>
  <c r="AF199" i="5"/>
  <c r="Y199" i="5"/>
  <c r="V229" i="5"/>
  <c r="AF229" i="5"/>
  <c r="Y214" i="5"/>
  <c r="Y184" i="5"/>
  <c r="M229" i="5"/>
  <c r="T214" i="5"/>
  <c r="AD214" i="5"/>
  <c r="J214" i="5"/>
  <c r="AF184" i="5"/>
  <c r="AB199" i="5"/>
  <c r="AB214" i="5"/>
  <c r="L214" i="5"/>
  <c r="AB229" i="5"/>
  <c r="AC214" i="5"/>
  <c r="S199" i="5"/>
  <c r="AB184" i="5"/>
  <c r="AH229" i="5"/>
  <c r="AF169" i="5"/>
  <c r="T199" i="5"/>
  <c r="T184" i="5"/>
  <c r="Y229" i="5"/>
  <c r="AD199" i="5"/>
  <c r="J229" i="5"/>
  <c r="AD184" i="5"/>
  <c r="AG229" i="5"/>
  <c r="S229" i="5"/>
  <c r="O199" i="5"/>
  <c r="L184" i="5"/>
  <c r="N184" i="5"/>
  <c r="O214" i="5"/>
  <c r="AC184" i="5"/>
  <c r="N199" i="5"/>
  <c r="AE229" i="5"/>
  <c r="AE184" i="5"/>
  <c r="AE199" i="5"/>
  <c r="AE169" i="5"/>
  <c r="AC229" i="5"/>
  <c r="Y169" i="5"/>
  <c r="U199" i="5"/>
  <c r="Z184" i="5"/>
  <c r="R229" i="5"/>
  <c r="R214" i="5"/>
  <c r="M214" i="5"/>
  <c r="M169" i="5"/>
  <c r="I214" i="5"/>
  <c r="P229" i="5"/>
  <c r="I184" i="5"/>
  <c r="AH169" i="5"/>
  <c r="V169" i="5"/>
  <c r="S214" i="5"/>
  <c r="O184" i="5"/>
  <c r="N229" i="5"/>
  <c r="L199" i="5"/>
  <c r="N214" i="5"/>
  <c r="AA214" i="5"/>
  <c r="U214" i="5"/>
  <c r="AA184" i="5"/>
  <c r="P184" i="5"/>
  <c r="P214" i="5"/>
  <c r="T169" i="5"/>
  <c r="X229" i="5"/>
  <c r="Z214" i="5"/>
  <c r="I169" i="5"/>
  <c r="U229" i="5"/>
  <c r="U184" i="5"/>
  <c r="R199" i="5"/>
  <c r="AD169" i="5"/>
  <c r="AG169" i="5"/>
  <c r="AH214" i="5"/>
  <c r="V214" i="5"/>
  <c r="W169" i="5"/>
  <c r="K169" i="5"/>
  <c r="R169" i="5"/>
  <c r="AI214" i="5"/>
  <c r="L229" i="5"/>
  <c r="X184" i="5"/>
  <c r="R184" i="5"/>
  <c r="I199" i="5"/>
  <c r="N169" i="5"/>
  <c r="AH184" i="5"/>
  <c r="AB169" i="5"/>
  <c r="V199" i="5"/>
  <c r="W199" i="5"/>
  <c r="AI229" i="5"/>
  <c r="W229" i="5"/>
  <c r="AA199" i="5"/>
  <c r="AA229" i="5"/>
  <c r="K199" i="5"/>
  <c r="AG214" i="5"/>
  <c r="AC199" i="5"/>
  <c r="AE214" i="5"/>
  <c r="X169" i="5"/>
  <c r="Z199" i="5"/>
  <c r="O169" i="5"/>
  <c r="S169" i="5"/>
  <c r="AH199" i="5"/>
  <c r="V184" i="5"/>
  <c r="Q169" i="5"/>
  <c r="AI169" i="5"/>
  <c r="Z229" i="5"/>
  <c r="AA169" i="5"/>
  <c r="AI199" i="5"/>
  <c r="P199" i="5"/>
  <c r="K184" i="5"/>
  <c r="Q184" i="5"/>
  <c r="L169" i="5"/>
  <c r="P169" i="5"/>
  <c r="P31" i="5" s="1"/>
  <c r="AC169" i="5"/>
  <c r="Q214" i="5"/>
  <c r="K214" i="5"/>
  <c r="Q229" i="5"/>
  <c r="X199" i="5"/>
  <c r="K229" i="5"/>
  <c r="I229" i="5"/>
  <c r="U169" i="5"/>
  <c r="AI184" i="5"/>
  <c r="X214" i="5"/>
  <c r="W214" i="5"/>
  <c r="Q199" i="5"/>
  <c r="W184" i="5"/>
  <c r="Z169" i="5"/>
  <c r="B21" i="4"/>
  <c r="B221" i="5"/>
  <c r="B206" i="5"/>
  <c r="B191" i="5"/>
  <c r="B176" i="5"/>
  <c r="B161" i="5"/>
  <c r="B20" i="4"/>
  <c r="G187" i="5"/>
  <c r="G217" i="5"/>
  <c r="G202" i="5"/>
  <c r="H187" i="5"/>
  <c r="G172" i="5"/>
  <c r="H217" i="5"/>
  <c r="H172" i="5"/>
  <c r="G232" i="5"/>
  <c r="H202" i="5"/>
  <c r="H232" i="5"/>
  <c r="AJ217" i="5"/>
  <c r="AJ187" i="5"/>
  <c r="AJ172" i="5"/>
  <c r="AJ202" i="5"/>
  <c r="AJ232" i="5"/>
  <c r="T232" i="5"/>
  <c r="P217" i="5"/>
  <c r="S232" i="5"/>
  <c r="X232" i="5"/>
  <c r="Y187" i="5"/>
  <c r="AF232" i="5"/>
  <c r="AD187" i="5"/>
  <c r="T217" i="5"/>
  <c r="AB232" i="5"/>
  <c r="M217" i="5"/>
  <c r="Y232" i="5"/>
  <c r="N217" i="5"/>
  <c r="J217" i="5"/>
  <c r="L187" i="5"/>
  <c r="AF172" i="5"/>
  <c r="AG202" i="5"/>
  <c r="L232" i="5"/>
  <c r="AH232" i="5"/>
  <c r="Y217" i="5"/>
  <c r="J187" i="5"/>
  <c r="J232" i="5"/>
  <c r="AD217" i="5"/>
  <c r="M232" i="5"/>
  <c r="AD202" i="5"/>
  <c r="J172" i="5"/>
  <c r="AF217" i="5"/>
  <c r="AB202" i="5"/>
  <c r="S187" i="5"/>
  <c r="O217" i="5"/>
  <c r="AF187" i="5"/>
  <c r="J202" i="5"/>
  <c r="L217" i="5"/>
  <c r="AG217" i="5"/>
  <c r="AG232" i="5"/>
  <c r="S202" i="5"/>
  <c r="O202" i="5"/>
  <c r="AB217" i="5"/>
  <c r="AC202" i="5"/>
  <c r="O232" i="5"/>
  <c r="AD232" i="5"/>
  <c r="AF202" i="5"/>
  <c r="S217" i="5"/>
  <c r="O187" i="5"/>
  <c r="AG187" i="5"/>
  <c r="AE202" i="5"/>
  <c r="N232" i="5"/>
  <c r="T187" i="5"/>
  <c r="N202" i="5"/>
  <c r="N187" i="5"/>
  <c r="AC217" i="5"/>
  <c r="R187" i="5"/>
  <c r="R217" i="5"/>
  <c r="I232" i="5"/>
  <c r="W202" i="5"/>
  <c r="AH172" i="5"/>
  <c r="T202" i="5"/>
  <c r="AE232" i="5"/>
  <c r="AC232" i="5"/>
  <c r="Y172" i="5"/>
  <c r="Z202" i="5"/>
  <c r="U202" i="5"/>
  <c r="U232" i="5"/>
  <c r="I202" i="5"/>
  <c r="I187" i="5"/>
  <c r="I217" i="5"/>
  <c r="AD172" i="5"/>
  <c r="L202" i="5"/>
  <c r="AE187" i="5"/>
  <c r="AH187" i="5"/>
  <c r="AC187" i="5"/>
  <c r="U217" i="5"/>
  <c r="Z187" i="5"/>
  <c r="Z172" i="5"/>
  <c r="X217" i="5"/>
  <c r="I172" i="5"/>
  <c r="O172" i="5"/>
  <c r="W172" i="5"/>
  <c r="Q172" i="5"/>
  <c r="K232" i="5"/>
  <c r="R172" i="5"/>
  <c r="U172" i="5"/>
  <c r="AC172" i="5"/>
  <c r="AB187" i="5"/>
  <c r="AE217" i="5"/>
  <c r="V232" i="5"/>
  <c r="R232" i="5"/>
  <c r="M187" i="5"/>
  <c r="M172" i="5"/>
  <c r="T172" i="5"/>
  <c r="X187" i="5"/>
  <c r="V202" i="5"/>
  <c r="AB172" i="5"/>
  <c r="S172" i="5"/>
  <c r="P232" i="5"/>
  <c r="V217" i="5"/>
  <c r="Z232" i="5"/>
  <c r="AA172" i="5"/>
  <c r="AI187" i="5"/>
  <c r="AI202" i="5"/>
  <c r="AI232" i="5"/>
  <c r="AA217" i="5"/>
  <c r="W232" i="5"/>
  <c r="W217" i="5"/>
  <c r="K217" i="5"/>
  <c r="Y202" i="5"/>
  <c r="AE172" i="5"/>
  <c r="U187" i="5"/>
  <c r="AI217" i="5"/>
  <c r="V172" i="5"/>
  <c r="N172" i="5"/>
  <c r="AG172" i="5"/>
  <c r="K172" i="5"/>
  <c r="AI172" i="5"/>
  <c r="M202" i="5"/>
  <c r="L172" i="5"/>
  <c r="AH202" i="5"/>
  <c r="X202" i="5"/>
  <c r="P202" i="5"/>
  <c r="AA187" i="5"/>
  <c r="Q202" i="5"/>
  <c r="V187" i="5"/>
  <c r="X172" i="5"/>
  <c r="P172" i="5"/>
  <c r="Q217" i="5"/>
  <c r="Q232" i="5"/>
  <c r="Q187" i="5"/>
  <c r="K187" i="5"/>
  <c r="Z217" i="5"/>
  <c r="AH217" i="5"/>
  <c r="AA202" i="5"/>
  <c r="K202" i="5"/>
  <c r="AA232" i="5"/>
  <c r="P187" i="5"/>
  <c r="R202" i="5"/>
  <c r="W187" i="5"/>
  <c r="H168" i="5"/>
  <c r="H198" i="5"/>
  <c r="G183" i="5"/>
  <c r="H213" i="5"/>
  <c r="G213" i="5"/>
  <c r="G228" i="5"/>
  <c r="H183" i="5"/>
  <c r="H228" i="5"/>
  <c r="G198" i="5"/>
  <c r="G168" i="5"/>
  <c r="AJ213" i="5"/>
  <c r="AJ183" i="5"/>
  <c r="AJ228" i="5"/>
  <c r="AJ198" i="5"/>
  <c r="AJ168" i="5"/>
  <c r="N213" i="5"/>
  <c r="AD228" i="5"/>
  <c r="J213" i="5"/>
  <c r="J168" i="5"/>
  <c r="AF168" i="5"/>
  <c r="Y198" i="5"/>
  <c r="Y183" i="5"/>
  <c r="M183" i="5"/>
  <c r="AD183" i="5"/>
  <c r="J228" i="5"/>
  <c r="AD198" i="5"/>
  <c r="AD213" i="5"/>
  <c r="AF228" i="5"/>
  <c r="O183" i="5"/>
  <c r="Y213" i="5"/>
  <c r="AF213" i="5"/>
  <c r="N183" i="5"/>
  <c r="N198" i="5"/>
  <c r="AF183" i="5"/>
  <c r="AG183" i="5"/>
  <c r="S198" i="5"/>
  <c r="AB228" i="5"/>
  <c r="Y228" i="5"/>
  <c r="AF198" i="5"/>
  <c r="AG228" i="5"/>
  <c r="S228" i="5"/>
  <c r="O198" i="5"/>
  <c r="AE213" i="5"/>
  <c r="AE228" i="5"/>
  <c r="L198" i="5"/>
  <c r="O228" i="5"/>
  <c r="AG213" i="5"/>
  <c r="J183" i="5"/>
  <c r="Y168" i="5"/>
  <c r="S183" i="5"/>
  <c r="S213" i="5"/>
  <c r="AB183" i="5"/>
  <c r="AG198" i="5"/>
  <c r="AB198" i="5"/>
  <c r="T228" i="5"/>
  <c r="L228" i="5"/>
  <c r="T198" i="5"/>
  <c r="T183" i="5"/>
  <c r="T213" i="5"/>
  <c r="L213" i="5"/>
  <c r="AE168" i="5"/>
  <c r="U213" i="5"/>
  <c r="R198" i="5"/>
  <c r="X213" i="5"/>
  <c r="AA183" i="5"/>
  <c r="R228" i="5"/>
  <c r="AA198" i="5"/>
  <c r="M228" i="5"/>
  <c r="I228" i="5"/>
  <c r="J198" i="5"/>
  <c r="AE198" i="5"/>
  <c r="AC183" i="5"/>
  <c r="AC198" i="5"/>
  <c r="AC228" i="5"/>
  <c r="M198" i="5"/>
  <c r="I198" i="5"/>
  <c r="AH168" i="5"/>
  <c r="X168" i="5"/>
  <c r="V168" i="5"/>
  <c r="L168" i="5"/>
  <c r="N168" i="5"/>
  <c r="T168" i="5"/>
  <c r="Z228" i="5"/>
  <c r="AB168" i="5"/>
  <c r="AG168" i="5"/>
  <c r="O213" i="5"/>
  <c r="AI213" i="5"/>
  <c r="AA228" i="5"/>
  <c r="M168" i="5"/>
  <c r="I168" i="5"/>
  <c r="AH183" i="5"/>
  <c r="AH228" i="5"/>
  <c r="X228" i="5"/>
  <c r="V183" i="5"/>
  <c r="V228" i="5"/>
  <c r="Z183" i="5"/>
  <c r="K168" i="5"/>
  <c r="AI168" i="5"/>
  <c r="P168" i="5"/>
  <c r="AH198" i="5"/>
  <c r="V198" i="5"/>
  <c r="V213" i="5"/>
  <c r="L183" i="5"/>
  <c r="U183" i="5"/>
  <c r="U228" i="5"/>
  <c r="X198" i="5"/>
  <c r="AI198" i="5"/>
  <c r="AD168" i="5"/>
  <c r="O168" i="5"/>
  <c r="AH213" i="5"/>
  <c r="Z198" i="5"/>
  <c r="Q168" i="5"/>
  <c r="R168" i="5"/>
  <c r="U168" i="5"/>
  <c r="AC168" i="5"/>
  <c r="P228" i="5"/>
  <c r="Q228" i="5"/>
  <c r="AI183" i="5"/>
  <c r="W183" i="5"/>
  <c r="Q213" i="5"/>
  <c r="K228" i="5"/>
  <c r="AE183" i="5"/>
  <c r="AC213" i="5"/>
  <c r="U198" i="5"/>
  <c r="R183" i="5"/>
  <c r="I183" i="5"/>
  <c r="Z168" i="5"/>
  <c r="S168" i="5"/>
  <c r="Z213" i="5"/>
  <c r="W168" i="5"/>
  <c r="I213" i="5"/>
  <c r="AA213" i="5"/>
  <c r="Q198" i="5"/>
  <c r="K213" i="5"/>
  <c r="X183" i="5"/>
  <c r="AA168" i="5"/>
  <c r="P213" i="5"/>
  <c r="K198" i="5"/>
  <c r="W198" i="5"/>
  <c r="N228" i="5"/>
  <c r="R213" i="5"/>
  <c r="M213" i="5"/>
  <c r="P183" i="5"/>
  <c r="Q183" i="5"/>
  <c r="K183" i="5"/>
  <c r="P198" i="5"/>
  <c r="W228" i="5"/>
  <c r="AB213" i="5"/>
  <c r="AI228" i="5"/>
  <c r="W213" i="5"/>
  <c r="H164" i="5"/>
  <c r="G179" i="5"/>
  <c r="G194" i="5"/>
  <c r="H209" i="5"/>
  <c r="H194" i="5"/>
  <c r="G209" i="5"/>
  <c r="G164" i="5"/>
  <c r="G224" i="5"/>
  <c r="H224" i="5"/>
  <c r="H179" i="5"/>
  <c r="AJ224" i="5"/>
  <c r="AJ194" i="5"/>
  <c r="AJ164" i="5"/>
  <c r="AJ179" i="5"/>
  <c r="AJ209" i="5"/>
  <c r="J209" i="5"/>
  <c r="AD194" i="5"/>
  <c r="J224" i="5"/>
  <c r="AD224" i="5"/>
  <c r="AF164" i="5"/>
  <c r="AF209" i="5"/>
  <c r="Y209" i="5"/>
  <c r="Y194" i="5"/>
  <c r="AD179" i="5"/>
  <c r="AB194" i="5"/>
  <c r="Y179" i="5"/>
  <c r="AF224" i="5"/>
  <c r="M194" i="5"/>
  <c r="AD209" i="5"/>
  <c r="S179" i="5"/>
  <c r="S194" i="5"/>
  <c r="L179" i="5"/>
  <c r="M209" i="5"/>
  <c r="T194" i="5"/>
  <c r="AG209" i="5"/>
  <c r="S224" i="5"/>
  <c r="O194" i="5"/>
  <c r="L194" i="5"/>
  <c r="N179" i="5"/>
  <c r="L224" i="5"/>
  <c r="AF179" i="5"/>
  <c r="J179" i="5"/>
  <c r="J194" i="5"/>
  <c r="J164" i="5"/>
  <c r="AF194" i="5"/>
  <c r="AG194" i="5"/>
  <c r="AG224" i="5"/>
  <c r="O209" i="5"/>
  <c r="O179" i="5"/>
  <c r="AG179" i="5"/>
  <c r="O224" i="5"/>
  <c r="AE194" i="5"/>
  <c r="AB179" i="5"/>
  <c r="AB224" i="5"/>
  <c r="T209" i="5"/>
  <c r="L209" i="5"/>
  <c r="N224" i="5"/>
  <c r="S209" i="5"/>
  <c r="AC224" i="5"/>
  <c r="Z179" i="5"/>
  <c r="Y164" i="5"/>
  <c r="R209" i="5"/>
  <c r="X224" i="5"/>
  <c r="U194" i="5"/>
  <c r="U224" i="5"/>
  <c r="I179" i="5"/>
  <c r="AH164" i="5"/>
  <c r="X164" i="5"/>
  <c r="Y224" i="5"/>
  <c r="V179" i="5"/>
  <c r="T224" i="5"/>
  <c r="AE179" i="5"/>
  <c r="AE209" i="5"/>
  <c r="AC179" i="5"/>
  <c r="U209" i="5"/>
  <c r="AH179" i="5"/>
  <c r="AH209" i="5"/>
  <c r="U179" i="5"/>
  <c r="R194" i="5"/>
  <c r="M164" i="5"/>
  <c r="I194" i="5"/>
  <c r="AE164" i="5"/>
  <c r="N164" i="5"/>
  <c r="Z164" i="5"/>
  <c r="AD164" i="5"/>
  <c r="O164" i="5"/>
  <c r="S164" i="5"/>
  <c r="N194" i="5"/>
  <c r="T179" i="5"/>
  <c r="N209" i="5"/>
  <c r="AC194" i="5"/>
  <c r="M179" i="5"/>
  <c r="X179" i="5"/>
  <c r="AB164" i="5"/>
  <c r="X209" i="5"/>
  <c r="R164" i="5"/>
  <c r="AI179" i="5"/>
  <c r="AI194" i="5"/>
  <c r="AE224" i="5"/>
  <c r="I209" i="5"/>
  <c r="AC209" i="5"/>
  <c r="R179" i="5"/>
  <c r="T164" i="5"/>
  <c r="AH194" i="5"/>
  <c r="W164" i="5"/>
  <c r="U164" i="5"/>
  <c r="AC164" i="5"/>
  <c r="AI209" i="5"/>
  <c r="P209" i="5"/>
  <c r="P194" i="5"/>
  <c r="AA179" i="5"/>
  <c r="P224" i="5"/>
  <c r="W224" i="5"/>
  <c r="K194" i="5"/>
  <c r="Q209" i="5"/>
  <c r="AB209" i="5"/>
  <c r="V194" i="5"/>
  <c r="Z209" i="5"/>
  <c r="I224" i="5"/>
  <c r="V164" i="5"/>
  <c r="L164" i="5"/>
  <c r="Z224" i="5"/>
  <c r="AG164" i="5"/>
  <c r="AG26" i="5" s="1"/>
  <c r="AH224" i="5"/>
  <c r="X194" i="5"/>
  <c r="Z194" i="5"/>
  <c r="V224" i="5"/>
  <c r="K164" i="5"/>
  <c r="W209" i="5"/>
  <c r="W194" i="5"/>
  <c r="M224" i="5"/>
  <c r="V209" i="5"/>
  <c r="AI224" i="5"/>
  <c r="K179" i="5"/>
  <c r="K224" i="5"/>
  <c r="Q224" i="5"/>
  <c r="AA209" i="5"/>
  <c r="R224" i="5"/>
  <c r="I164" i="5"/>
  <c r="Q164" i="5"/>
  <c r="AA164" i="5"/>
  <c r="P179" i="5"/>
  <c r="AA194" i="5"/>
  <c r="P164" i="5"/>
  <c r="Q194" i="5"/>
  <c r="AA224" i="5"/>
  <c r="W179" i="5"/>
  <c r="K209" i="5"/>
  <c r="Q179" i="5"/>
  <c r="AI164" i="5"/>
  <c r="H221" i="5"/>
  <c r="G161" i="5"/>
  <c r="G176" i="5"/>
  <c r="G206" i="5"/>
  <c r="H206" i="5"/>
  <c r="H191" i="5"/>
  <c r="G221" i="5"/>
  <c r="H176" i="5"/>
  <c r="H161" i="5"/>
  <c r="G191" i="5"/>
  <c r="AJ206" i="5"/>
  <c r="AJ176" i="5"/>
  <c r="AJ191" i="5"/>
  <c r="AJ221" i="5"/>
  <c r="AJ161" i="5"/>
  <c r="AF206" i="5"/>
  <c r="Y191" i="5"/>
  <c r="Y206" i="5"/>
  <c r="M176" i="5"/>
  <c r="J221" i="5"/>
  <c r="J176" i="5"/>
  <c r="S191" i="5"/>
  <c r="AI221" i="5"/>
  <c r="M191" i="5"/>
  <c r="M221" i="5"/>
  <c r="AD176" i="5"/>
  <c r="J191" i="5"/>
  <c r="AD191" i="5"/>
  <c r="AF176" i="5"/>
  <c r="AF191" i="5"/>
  <c r="AG206" i="5"/>
  <c r="S206" i="5"/>
  <c r="AG191" i="5"/>
  <c r="Y176" i="5"/>
  <c r="AF221" i="5"/>
  <c r="S176" i="5"/>
  <c r="O191" i="5"/>
  <c r="AB191" i="5"/>
  <c r="AG221" i="5"/>
  <c r="AB176" i="5"/>
  <c r="J206" i="5"/>
  <c r="J161" i="5"/>
  <c r="T191" i="5"/>
  <c r="L221" i="5"/>
  <c r="Y221" i="5"/>
  <c r="AD221" i="5"/>
  <c r="AF161" i="5"/>
  <c r="AG176" i="5"/>
  <c r="O221" i="5"/>
  <c r="AB221" i="5"/>
  <c r="AD206" i="5"/>
  <c r="O176" i="5"/>
  <c r="AB206" i="5"/>
  <c r="AC221" i="5"/>
  <c r="AE221" i="5"/>
  <c r="N221" i="5"/>
  <c r="N206" i="5"/>
  <c r="L176" i="5"/>
  <c r="AA176" i="5"/>
  <c r="U221" i="5"/>
  <c r="U206" i="5"/>
  <c r="R191" i="5"/>
  <c r="AA206" i="5"/>
  <c r="P176" i="5"/>
  <c r="AE161" i="5"/>
  <c r="I206" i="5"/>
  <c r="S221" i="5"/>
  <c r="T221" i="5"/>
  <c r="T176" i="5"/>
  <c r="AE191" i="5"/>
  <c r="AE206" i="5"/>
  <c r="R221" i="5"/>
  <c r="AC206" i="5"/>
  <c r="AC191" i="5"/>
  <c r="U191" i="5"/>
  <c r="AA191" i="5"/>
  <c r="Z176" i="5"/>
  <c r="Z221" i="5"/>
  <c r="M206" i="5"/>
  <c r="M161" i="5"/>
  <c r="I191" i="5"/>
  <c r="X161" i="5"/>
  <c r="T161" i="5"/>
  <c r="AH191" i="5"/>
  <c r="Z191" i="5"/>
  <c r="O161" i="5"/>
  <c r="AH221" i="5"/>
  <c r="U176" i="5"/>
  <c r="X176" i="5"/>
  <c r="R176" i="5"/>
  <c r="I221" i="5"/>
  <c r="V161" i="5"/>
  <c r="AH176" i="5"/>
  <c r="V221" i="5"/>
  <c r="AG161" i="5"/>
  <c r="S161" i="5"/>
  <c r="Q161" i="5"/>
  <c r="AA161" i="5"/>
  <c r="U161" i="5"/>
  <c r="AC161" i="5"/>
  <c r="K206" i="5"/>
  <c r="AI191" i="5"/>
  <c r="W191" i="5"/>
  <c r="O206" i="5"/>
  <c r="N191" i="5"/>
  <c r="L206" i="5"/>
  <c r="Y161" i="5"/>
  <c r="R206" i="5"/>
  <c r="I176" i="5"/>
  <c r="N161" i="5"/>
  <c r="I161" i="5"/>
  <c r="AB161" i="5"/>
  <c r="K161" i="5"/>
  <c r="P161" i="5"/>
  <c r="P191" i="5"/>
  <c r="W206" i="5"/>
  <c r="K176" i="5"/>
  <c r="Q176" i="5"/>
  <c r="N176" i="5"/>
  <c r="AC176" i="5"/>
  <c r="X206" i="5"/>
  <c r="AH161" i="5"/>
  <c r="AD161" i="5"/>
  <c r="V176" i="5"/>
  <c r="X191" i="5"/>
  <c r="W161" i="5"/>
  <c r="AI161" i="5"/>
  <c r="T206" i="5"/>
  <c r="Z161" i="5"/>
  <c r="X221" i="5"/>
  <c r="AA221" i="5"/>
  <c r="Q206" i="5"/>
  <c r="K191" i="5"/>
  <c r="AH206" i="5"/>
  <c r="P206" i="5"/>
  <c r="AI206" i="5"/>
  <c r="Q221" i="5"/>
  <c r="Q191" i="5"/>
  <c r="L191" i="5"/>
  <c r="AE176" i="5"/>
  <c r="L161" i="5"/>
  <c r="V191" i="5"/>
  <c r="R161" i="5"/>
  <c r="W176" i="5"/>
  <c r="P221" i="5"/>
  <c r="AI176" i="5"/>
  <c r="W221" i="5"/>
  <c r="K221" i="5"/>
  <c r="Z206" i="5"/>
  <c r="V206" i="5"/>
  <c r="B22" i="4"/>
  <c r="B65" i="5" s="1"/>
  <c r="B98" i="5" s="1"/>
  <c r="B64" i="5"/>
  <c r="B97" i="5" s="1"/>
  <c r="B23" i="4"/>
  <c r="B16" i="11"/>
  <c r="B23" i="5"/>
  <c r="B38" i="5"/>
  <c r="AD32" i="5" l="1"/>
  <c r="O27" i="5"/>
  <c r="R27" i="5"/>
  <c r="Z31" i="5"/>
  <c r="T24" i="5"/>
  <c r="M24" i="5"/>
  <c r="AA32" i="5"/>
  <c r="AD25" i="5"/>
  <c r="AB25" i="5"/>
  <c r="M27" i="5"/>
  <c r="R23" i="5"/>
  <c r="AI23" i="5"/>
  <c r="L26" i="5"/>
  <c r="W24" i="5"/>
  <c r="N24" i="5"/>
  <c r="U32" i="5"/>
  <c r="AD23" i="5"/>
  <c r="Z26" i="5"/>
  <c r="S28" i="5"/>
  <c r="Q25" i="5"/>
  <c r="Y23" i="5"/>
  <c r="U23" i="5"/>
  <c r="T23" i="5"/>
  <c r="AF23" i="5"/>
  <c r="AA26" i="5"/>
  <c r="AD26" i="5"/>
  <c r="Y26" i="5"/>
  <c r="AJ26" i="5"/>
  <c r="H26" i="5"/>
  <c r="Z30" i="5"/>
  <c r="AC30" i="5"/>
  <c r="V30" i="5"/>
  <c r="J30" i="5"/>
  <c r="AJ30" i="5"/>
  <c r="AA31" i="5"/>
  <c r="AB31" i="5"/>
  <c r="AJ31" i="5"/>
  <c r="AD24" i="5"/>
  <c r="U24" i="5"/>
  <c r="K24" i="5"/>
  <c r="AE24" i="5"/>
  <c r="AB28" i="5"/>
  <c r="O28" i="5"/>
  <c r="Z28" i="5"/>
  <c r="L28" i="5"/>
  <c r="AF28" i="5"/>
  <c r="N32" i="5"/>
  <c r="P32" i="5"/>
  <c r="V32" i="5"/>
  <c r="J32" i="5"/>
  <c r="AF32" i="5"/>
  <c r="AC25" i="5"/>
  <c r="AG25" i="5"/>
  <c r="AE29" i="5"/>
  <c r="AD29" i="5"/>
  <c r="O33" i="5"/>
  <c r="U33" i="5"/>
  <c r="AD33" i="5"/>
  <c r="I23" i="5"/>
  <c r="AG23" i="5"/>
  <c r="AJ23" i="5"/>
  <c r="W29" i="5"/>
  <c r="X29" i="5"/>
  <c r="P33" i="5"/>
  <c r="Z33" i="5"/>
  <c r="X33" i="5"/>
  <c r="AA33" i="5"/>
  <c r="R31" i="5"/>
  <c r="P27" i="5"/>
  <c r="N30" i="5"/>
  <c r="S31" i="5"/>
  <c r="H23" i="5"/>
  <c r="S26" i="5"/>
  <c r="O30" i="5"/>
  <c r="Y30" i="5"/>
  <c r="AI31" i="5"/>
  <c r="Q28" i="5"/>
  <c r="O32" i="5"/>
  <c r="N29" i="5"/>
  <c r="AI33" i="5"/>
  <c r="S33" i="5"/>
  <c r="U27" i="5"/>
  <c r="F221" i="5"/>
  <c r="F183" i="5"/>
  <c r="F172" i="5"/>
  <c r="T33" i="5"/>
  <c r="J33" i="5"/>
  <c r="K27" i="5"/>
  <c r="T27" i="5"/>
  <c r="AF27" i="5"/>
  <c r="F225" i="5"/>
  <c r="V31" i="5"/>
  <c r="G31" i="5"/>
  <c r="F169" i="5"/>
  <c r="J24" i="5"/>
  <c r="G24" i="5"/>
  <c r="F162" i="5"/>
  <c r="K28" i="5"/>
  <c r="P28" i="5"/>
  <c r="AA28" i="5"/>
  <c r="X28" i="5"/>
  <c r="AE28" i="5"/>
  <c r="F211" i="5"/>
  <c r="G32" i="5"/>
  <c r="F170" i="5"/>
  <c r="F185" i="5"/>
  <c r="K25" i="5"/>
  <c r="AH25" i="5"/>
  <c r="F193" i="5"/>
  <c r="P29" i="5"/>
  <c r="L22" i="4"/>
  <c r="AM65" i="5" s="1"/>
  <c r="AM98" i="5" s="1"/>
  <c r="L20" i="4"/>
  <c r="AM63" i="5" s="1"/>
  <c r="AM96" i="5" s="1"/>
  <c r="L23" i="4"/>
  <c r="AM66" i="5" s="1"/>
  <c r="AM99" i="5" s="1"/>
  <c r="L21" i="4"/>
  <c r="AM64" i="5" s="1"/>
  <c r="AM97" i="5" s="1"/>
  <c r="B162" i="5"/>
  <c r="B222" i="5"/>
  <c r="B192" i="5"/>
  <c r="B207" i="5"/>
  <c r="B177" i="5"/>
  <c r="W23" i="5"/>
  <c r="AH23" i="5"/>
  <c r="P23" i="5"/>
  <c r="N23" i="5"/>
  <c r="AA23" i="5"/>
  <c r="O23" i="5"/>
  <c r="X23" i="5"/>
  <c r="J23" i="5"/>
  <c r="F191" i="5"/>
  <c r="F161" i="5"/>
  <c r="P26" i="5"/>
  <c r="Q26" i="5"/>
  <c r="K26" i="5"/>
  <c r="V26" i="5"/>
  <c r="R26" i="5"/>
  <c r="M26" i="5"/>
  <c r="X26" i="5"/>
  <c r="J26" i="5"/>
  <c r="AF26" i="5"/>
  <c r="F224" i="5"/>
  <c r="W30" i="5"/>
  <c r="U30" i="5"/>
  <c r="AI30" i="5"/>
  <c r="I30" i="5"/>
  <c r="T30" i="5"/>
  <c r="X30" i="5"/>
  <c r="G30" i="5"/>
  <c r="F168" i="5"/>
  <c r="F228" i="5"/>
  <c r="F232" i="5"/>
  <c r="AC31" i="5"/>
  <c r="X31" i="5"/>
  <c r="K31" i="5"/>
  <c r="AG31" i="5"/>
  <c r="T31" i="5"/>
  <c r="AH31" i="5"/>
  <c r="M31" i="5"/>
  <c r="AE31" i="5"/>
  <c r="F199" i="5"/>
  <c r="H31" i="5"/>
  <c r="X24" i="5"/>
  <c r="AB24" i="5"/>
  <c r="S24" i="5"/>
  <c r="V24" i="5"/>
  <c r="O24" i="5"/>
  <c r="L24" i="5"/>
  <c r="AJ24" i="5"/>
  <c r="F177" i="5"/>
  <c r="F222" i="5"/>
  <c r="T28" i="5"/>
  <c r="N28" i="5"/>
  <c r="AG28" i="5"/>
  <c r="AI28" i="5"/>
  <c r="AH28" i="5"/>
  <c r="F181" i="5"/>
  <c r="AI32" i="5"/>
  <c r="AG32" i="5"/>
  <c r="T32" i="5"/>
  <c r="Z32" i="5"/>
  <c r="S32" i="5"/>
  <c r="X32" i="5"/>
  <c r="S25" i="5"/>
  <c r="U25" i="5"/>
  <c r="L25" i="5"/>
  <c r="P25" i="5"/>
  <c r="N25" i="5"/>
  <c r="AE25" i="5"/>
  <c r="I25" i="5"/>
  <c r="X25" i="5"/>
  <c r="AF25" i="5"/>
  <c r="F208" i="5"/>
  <c r="F223" i="5"/>
  <c r="I29" i="5"/>
  <c r="Q29" i="5"/>
  <c r="M29" i="5"/>
  <c r="AB29" i="5"/>
  <c r="Z29" i="5"/>
  <c r="AH29" i="5"/>
  <c r="J29" i="5"/>
  <c r="AJ29" i="5"/>
  <c r="G29" i="5"/>
  <c r="F167" i="5"/>
  <c r="R33" i="5"/>
  <c r="W33" i="5"/>
  <c r="AH33" i="5"/>
  <c r="N33" i="5"/>
  <c r="F186" i="5"/>
  <c r="H33" i="5"/>
  <c r="G33" i="5"/>
  <c r="F171" i="5"/>
  <c r="V27" i="5"/>
  <c r="AH27" i="5"/>
  <c r="Q27" i="5"/>
  <c r="N27" i="5"/>
  <c r="AI27" i="5"/>
  <c r="X27" i="5"/>
  <c r="S27" i="5"/>
  <c r="AJ27" i="5"/>
  <c r="H27" i="5"/>
  <c r="F195" i="5"/>
  <c r="F176" i="5"/>
  <c r="W26" i="5"/>
  <c r="P30" i="5"/>
  <c r="Z23" i="5"/>
  <c r="K23" i="5"/>
  <c r="AE23" i="5"/>
  <c r="I26" i="5"/>
  <c r="AC26" i="5"/>
  <c r="T26" i="5"/>
  <c r="N26" i="5"/>
  <c r="AH26" i="5"/>
  <c r="G26" i="5"/>
  <c r="F164" i="5"/>
  <c r="R30" i="5"/>
  <c r="K30" i="5"/>
  <c r="M30" i="5"/>
  <c r="AH30" i="5"/>
  <c r="AE30" i="5"/>
  <c r="F198" i="5"/>
  <c r="F213" i="5"/>
  <c r="H30" i="5"/>
  <c r="F202" i="5"/>
  <c r="U31" i="5"/>
  <c r="N31" i="5"/>
  <c r="W31" i="5"/>
  <c r="AD31" i="5"/>
  <c r="I31" i="5"/>
  <c r="J31" i="5"/>
  <c r="F214" i="5"/>
  <c r="F184" i="5"/>
  <c r="R24" i="5"/>
  <c r="AG24" i="5"/>
  <c r="AH24" i="5"/>
  <c r="AF24" i="5"/>
  <c r="F192" i="5"/>
  <c r="AD28" i="5"/>
  <c r="AC28" i="5"/>
  <c r="R28" i="5"/>
  <c r="I28" i="5"/>
  <c r="V28" i="5"/>
  <c r="J28" i="5"/>
  <c r="F196" i="5"/>
  <c r="G28" i="5"/>
  <c r="F166" i="5"/>
  <c r="R32" i="5"/>
  <c r="I32" i="5"/>
  <c r="AB32" i="5"/>
  <c r="AH32" i="5"/>
  <c r="Q32" i="5"/>
  <c r="L32" i="5"/>
  <c r="Y32" i="5"/>
  <c r="AJ32" i="5"/>
  <c r="F215" i="5"/>
  <c r="Y25" i="5"/>
  <c r="T25" i="5"/>
  <c r="AA25" i="5"/>
  <c r="O25" i="5"/>
  <c r="J25" i="5"/>
  <c r="AI25" i="5"/>
  <c r="W25" i="5"/>
  <c r="Z25" i="5"/>
  <c r="H25" i="5"/>
  <c r="G25" i="5"/>
  <c r="F163" i="5"/>
  <c r="T29" i="5"/>
  <c r="AA29" i="5"/>
  <c r="AG29" i="5"/>
  <c r="AC29" i="5"/>
  <c r="S29" i="5"/>
  <c r="Y29" i="5"/>
  <c r="F197" i="5"/>
  <c r="H29" i="5"/>
  <c r="F182" i="5"/>
  <c r="AC33" i="5"/>
  <c r="I33" i="5"/>
  <c r="AB33" i="5"/>
  <c r="L33" i="5"/>
  <c r="AE33" i="5"/>
  <c r="Y33" i="5"/>
  <c r="AJ33" i="5"/>
  <c r="F201" i="5"/>
  <c r="F231" i="5"/>
  <c r="AA27" i="5"/>
  <c r="Z27" i="5"/>
  <c r="AE27" i="5"/>
  <c r="AG27" i="5"/>
  <c r="J27" i="5"/>
  <c r="F180" i="5"/>
  <c r="F210" i="5"/>
  <c r="F187" i="5"/>
  <c r="L23" i="5"/>
  <c r="Q23" i="5"/>
  <c r="F194" i="5"/>
  <c r="AG30" i="5"/>
  <c r="AB23" i="5"/>
  <c r="AC23" i="5"/>
  <c r="S23" i="5"/>
  <c r="V23" i="5"/>
  <c r="M23" i="5"/>
  <c r="F206" i="5"/>
  <c r="AI26" i="5"/>
  <c r="U26" i="5"/>
  <c r="AB26" i="5"/>
  <c r="O26" i="5"/>
  <c r="AE26" i="5"/>
  <c r="F209" i="5"/>
  <c r="F179" i="5"/>
  <c r="AA30" i="5"/>
  <c r="S30" i="5"/>
  <c r="Q30" i="5"/>
  <c r="AD30" i="5"/>
  <c r="AB30" i="5"/>
  <c r="L30" i="5"/>
  <c r="AF30" i="5"/>
  <c r="F217" i="5"/>
  <c r="L31" i="5"/>
  <c r="Q31" i="5"/>
  <c r="O31" i="5"/>
  <c r="Y31" i="5"/>
  <c r="AF31" i="5"/>
  <c r="F229" i="5"/>
  <c r="AA24" i="5"/>
  <c r="P24" i="5"/>
  <c r="AC24" i="5"/>
  <c r="Q24" i="5"/>
  <c r="Y24" i="5"/>
  <c r="AI24" i="5"/>
  <c r="Z24" i="5"/>
  <c r="I24" i="5"/>
  <c r="H24" i="5"/>
  <c r="F207" i="5"/>
  <c r="U28" i="5"/>
  <c r="W28" i="5"/>
  <c r="M28" i="5"/>
  <c r="Y28" i="5"/>
  <c r="AJ28" i="5"/>
  <c r="F226" i="5"/>
  <c r="H28" i="5"/>
  <c r="K32" i="5"/>
  <c r="AE32" i="5"/>
  <c r="AC32" i="5"/>
  <c r="W32" i="5"/>
  <c r="M32" i="5"/>
  <c r="H32" i="5"/>
  <c r="F200" i="5"/>
  <c r="F230" i="5"/>
  <c r="R25" i="5"/>
  <c r="M25" i="5"/>
  <c r="V25" i="5"/>
  <c r="AJ25" i="5"/>
  <c r="F178" i="5"/>
  <c r="O29" i="5"/>
  <c r="AI29" i="5"/>
  <c r="R29" i="5"/>
  <c r="K29" i="5"/>
  <c r="L29" i="5"/>
  <c r="U29" i="5"/>
  <c r="V29" i="5"/>
  <c r="AF29" i="5"/>
  <c r="F212" i="5"/>
  <c r="F227" i="5"/>
  <c r="Q33" i="5"/>
  <c r="K33" i="5"/>
  <c r="V33" i="5"/>
  <c r="AG33" i="5"/>
  <c r="M33" i="5"/>
  <c r="AF33" i="5"/>
  <c r="F216" i="5"/>
  <c r="W27" i="5"/>
  <c r="AB27" i="5"/>
  <c r="I27" i="5"/>
  <c r="L27" i="5"/>
  <c r="Y27" i="5"/>
  <c r="G27" i="5"/>
  <c r="F165" i="5"/>
  <c r="G23" i="5"/>
  <c r="T34" i="5"/>
  <c r="Y34" i="5"/>
  <c r="AA34" i="5"/>
  <c r="I34" i="5"/>
  <c r="AC34" i="5"/>
  <c r="N34" i="5"/>
  <c r="AJ34" i="5"/>
  <c r="AB34" i="5"/>
  <c r="X34" i="5"/>
  <c r="J34" i="5"/>
  <c r="AF34" i="5"/>
  <c r="S34" i="5"/>
  <c r="AI34" i="5"/>
  <c r="L34" i="5"/>
  <c r="AG34" i="5"/>
  <c r="AH34" i="5"/>
  <c r="P34" i="5"/>
  <c r="G34" i="5"/>
  <c r="W34" i="5"/>
  <c r="Q34" i="5"/>
  <c r="H34" i="5"/>
  <c r="U34" i="5"/>
  <c r="K34" i="5"/>
  <c r="M34" i="5"/>
  <c r="AD34" i="5"/>
  <c r="V34" i="5"/>
  <c r="R34" i="5"/>
  <c r="Z34" i="5"/>
  <c r="O34" i="5"/>
  <c r="AE34" i="5"/>
  <c r="B24" i="5"/>
  <c r="B17" i="11"/>
  <c r="B25" i="4" s="1"/>
  <c r="B39" i="5"/>
  <c r="B24" i="4" l="1"/>
  <c r="B25" i="5"/>
  <c r="F23" i="5"/>
  <c r="F27" i="5"/>
  <c r="F25" i="5"/>
  <c r="F28" i="5"/>
  <c r="F30" i="5"/>
  <c r="F32" i="5"/>
  <c r="F24" i="5"/>
  <c r="B223" i="5"/>
  <c r="B193" i="5"/>
  <c r="B208" i="5"/>
  <c r="B178" i="5"/>
  <c r="B163" i="5"/>
  <c r="F33" i="5"/>
  <c r="F29" i="5"/>
  <c r="F26" i="5"/>
  <c r="F31" i="5"/>
  <c r="F34" i="5"/>
  <c r="B40" i="5"/>
  <c r="B27" i="4"/>
  <c r="B18" i="11"/>
  <c r="B66" i="5"/>
  <c r="B99" i="5" s="1"/>
  <c r="B67" i="5"/>
  <c r="B100" i="5" s="1"/>
  <c r="B26" i="5" l="1"/>
  <c r="B164" i="5"/>
  <c r="B224" i="5"/>
  <c r="B209" i="5"/>
  <c r="B194" i="5"/>
  <c r="B179" i="5"/>
  <c r="B26" i="4"/>
  <c r="B19" i="11"/>
  <c r="B42" i="5" s="1"/>
  <c r="B41" i="5"/>
  <c r="B68" i="5"/>
  <c r="B101" i="5" s="1"/>
  <c r="B27" i="5" l="1"/>
  <c r="B20" i="11"/>
  <c r="B181" i="5" s="1"/>
  <c r="B166" i="5"/>
  <c r="B211" i="5"/>
  <c r="B196" i="5"/>
  <c r="B226" i="5"/>
  <c r="B30" i="4"/>
  <c r="B29" i="4"/>
  <c r="L24" i="4"/>
  <c r="AM67" i="5" s="1"/>
  <c r="AM100" i="5" s="1"/>
  <c r="L25" i="4"/>
  <c r="AM68" i="5" s="1"/>
  <c r="AM101" i="5" s="1"/>
  <c r="L27" i="4"/>
  <c r="AM70" i="5" s="1"/>
  <c r="AM103" i="5" s="1"/>
  <c r="L26" i="4"/>
  <c r="AM69" i="5" s="1"/>
  <c r="AM102" i="5" s="1"/>
  <c r="B225" i="5"/>
  <c r="B210" i="5"/>
  <c r="B180" i="5"/>
  <c r="B195" i="5"/>
  <c r="B165" i="5"/>
  <c r="B28" i="4"/>
  <c r="B31" i="4"/>
  <c r="B69" i="5"/>
  <c r="B102" i="5" s="1"/>
  <c r="B21" i="11"/>
  <c r="B43" i="5"/>
  <c r="B28" i="5"/>
  <c r="G12" i="6"/>
  <c r="B227" i="5" l="1"/>
  <c r="B212" i="5"/>
  <c r="B182" i="5"/>
  <c r="B197" i="5"/>
  <c r="B167" i="5"/>
  <c r="B32" i="4"/>
  <c r="B33" i="4"/>
  <c r="B76" i="5" s="1"/>
  <c r="B109" i="5" s="1"/>
  <c r="B70" i="5"/>
  <c r="B103" i="5" s="1"/>
  <c r="B22" i="11"/>
  <c r="B29" i="5"/>
  <c r="B44" i="5"/>
  <c r="L28" i="4" l="1"/>
  <c r="AM71" i="5" s="1"/>
  <c r="AM104" i="5" s="1"/>
  <c r="L30" i="4"/>
  <c r="AM73" i="5" s="1"/>
  <c r="AM106" i="5" s="1"/>
  <c r="L31" i="4"/>
  <c r="AM74" i="5" s="1"/>
  <c r="AM107" i="5" s="1"/>
  <c r="L29" i="4"/>
  <c r="AM72" i="5" s="1"/>
  <c r="AM105" i="5" s="1"/>
  <c r="B168" i="5"/>
  <c r="B183" i="5"/>
  <c r="B228" i="5"/>
  <c r="B213" i="5"/>
  <c r="B198" i="5"/>
  <c r="B35" i="4"/>
  <c r="B78" i="5" s="1"/>
  <c r="B111" i="5" s="1"/>
  <c r="B34" i="4"/>
  <c r="B77" i="5" s="1"/>
  <c r="B110" i="5" s="1"/>
  <c r="B71" i="5"/>
  <c r="B104" i="5" s="1"/>
  <c r="B235" i="4"/>
  <c r="B188" i="4"/>
  <c r="B126" i="4"/>
  <c r="B374" i="4"/>
  <c r="B250" i="4"/>
  <c r="B359" i="4"/>
  <c r="B344" i="4"/>
  <c r="B312" i="4"/>
  <c r="B220" i="4"/>
  <c r="B23" i="11"/>
  <c r="B45" i="5"/>
  <c r="B30" i="5"/>
  <c r="B158" i="4"/>
  <c r="B173" i="4"/>
  <c r="I13" i="4"/>
  <c r="J13" i="4" s="1"/>
  <c r="I12" i="4"/>
  <c r="J12" i="4" s="1"/>
  <c r="D96" i="5"/>
  <c r="C63" i="5"/>
  <c r="B229" i="5" l="1"/>
  <c r="B214" i="5"/>
  <c r="B184" i="5"/>
  <c r="B199" i="5"/>
  <c r="B169" i="5"/>
  <c r="B36" i="4"/>
  <c r="B79" i="5" s="1"/>
  <c r="B112" i="5" s="1"/>
  <c r="B37" i="4"/>
  <c r="B80" i="5" s="1"/>
  <c r="B113" i="5" s="1"/>
  <c r="AR63" i="5"/>
  <c r="BP103" i="5"/>
  <c r="BT105" i="5"/>
  <c r="AS124" i="5"/>
  <c r="AR123" i="5"/>
  <c r="AT121" i="5"/>
  <c r="AR120" i="5"/>
  <c r="AR118" i="5"/>
  <c r="BS116" i="5"/>
  <c r="BK116" i="5"/>
  <c r="BC116" i="5"/>
  <c r="AX116" i="5"/>
  <c r="AS116" i="5"/>
  <c r="AR115" i="5"/>
  <c r="BT113" i="5"/>
  <c r="BP113" i="5"/>
  <c r="BL113" i="5"/>
  <c r="BH113" i="5"/>
  <c r="BD113" i="5"/>
  <c r="AZ113" i="5"/>
  <c r="AV113" i="5"/>
  <c r="AR113" i="5"/>
  <c r="AS111" i="5"/>
  <c r="BS110" i="5"/>
  <c r="BO110" i="5"/>
  <c r="BK110" i="5"/>
  <c r="AS125" i="5"/>
  <c r="AS123" i="5"/>
  <c r="AS121" i="5"/>
  <c r="AR119" i="5"/>
  <c r="AR117" i="5"/>
  <c r="BJ116" i="5"/>
  <c r="AZ116" i="5"/>
  <c r="AT116" i="5"/>
  <c r="AS114" i="5"/>
  <c r="BR113" i="5"/>
  <c r="BM113" i="5"/>
  <c r="BG113" i="5"/>
  <c r="BB113" i="5"/>
  <c r="AW113" i="5"/>
  <c r="AS112" i="5"/>
  <c r="BU110" i="5"/>
  <c r="BP110" i="5"/>
  <c r="BJ110" i="5"/>
  <c r="BF110" i="5"/>
  <c r="BB110" i="5"/>
  <c r="AX110" i="5"/>
  <c r="AT110" i="5"/>
  <c r="AS109" i="5"/>
  <c r="BU107" i="5"/>
  <c r="BQ107" i="5"/>
  <c r="BM107" i="5"/>
  <c r="BI107" i="5"/>
  <c r="BE107" i="5"/>
  <c r="BA107" i="5"/>
  <c r="AW107" i="5"/>
  <c r="AS107" i="5"/>
  <c r="BL105" i="5"/>
  <c r="AR105" i="5"/>
  <c r="BR104" i="5"/>
  <c r="BN104" i="5"/>
  <c r="BJ104" i="5"/>
  <c r="BF104" i="5"/>
  <c r="BB104" i="5"/>
  <c r="AX104" i="5"/>
  <c r="AT104" i="5"/>
  <c r="BC103" i="5"/>
  <c r="AR103" i="5"/>
  <c r="BR102" i="5"/>
  <c r="BN102" i="5"/>
  <c r="BJ102" i="5"/>
  <c r="BF102" i="5"/>
  <c r="BB102" i="5"/>
  <c r="AX102" i="5"/>
  <c r="AT102" i="5"/>
  <c r="BT101" i="5"/>
  <c r="BP101" i="5"/>
  <c r="BL101" i="5"/>
  <c r="BH101" i="5"/>
  <c r="BD101" i="5"/>
  <c r="AZ101" i="5"/>
  <c r="AV101" i="5"/>
  <c r="AR101" i="5"/>
  <c r="BR100" i="5"/>
  <c r="BN100" i="5"/>
  <c r="BJ100" i="5"/>
  <c r="BF100" i="5"/>
  <c r="BB100" i="5"/>
  <c r="AX100" i="5"/>
  <c r="AT100" i="5"/>
  <c r="BT99" i="5"/>
  <c r="BP99" i="5"/>
  <c r="BL99" i="5"/>
  <c r="BH99" i="5"/>
  <c r="BD99" i="5"/>
  <c r="AZ99" i="5"/>
  <c r="AV99" i="5"/>
  <c r="AR99" i="5"/>
  <c r="BR98" i="5"/>
  <c r="BN98" i="5"/>
  <c r="BJ98" i="5"/>
  <c r="BF98" i="5"/>
  <c r="BB98" i="5"/>
  <c r="AX98" i="5"/>
  <c r="AT98" i="5"/>
  <c r="BT97" i="5"/>
  <c r="BP97" i="5"/>
  <c r="BL97" i="5"/>
  <c r="BH97" i="5"/>
  <c r="BD97" i="5"/>
  <c r="AZ97" i="5"/>
  <c r="AV97" i="5"/>
  <c r="AR97" i="5"/>
  <c r="BR96" i="5"/>
  <c r="BN96" i="5"/>
  <c r="BJ96" i="5"/>
  <c r="BF96" i="5"/>
  <c r="BB96" i="5"/>
  <c r="AX96" i="5"/>
  <c r="AT96" i="5"/>
  <c r="AS122" i="5"/>
  <c r="AS120" i="5"/>
  <c r="BO116" i="5"/>
  <c r="AR125" i="5"/>
  <c r="AT122" i="5"/>
  <c r="AR121" i="5"/>
  <c r="AS118" i="5"/>
  <c r="BR116" i="5"/>
  <c r="BG116" i="5"/>
  <c r="AY116" i="5"/>
  <c r="AR116" i="5"/>
  <c r="AR114" i="5"/>
  <c r="BQ113" i="5"/>
  <c r="BK113" i="5"/>
  <c r="BF113" i="5"/>
  <c r="BA113" i="5"/>
  <c r="AU113" i="5"/>
  <c r="AR112" i="5"/>
  <c r="BT110" i="5"/>
  <c r="BN110" i="5"/>
  <c r="BI110" i="5"/>
  <c r="BE110" i="5"/>
  <c r="BA110" i="5"/>
  <c r="AW110" i="5"/>
  <c r="AS110" i="5"/>
  <c r="AR109" i="5"/>
  <c r="BT107" i="5"/>
  <c r="BP107" i="5"/>
  <c r="BL107" i="5"/>
  <c r="BH107" i="5"/>
  <c r="BD107" i="5"/>
  <c r="AZ107" i="5"/>
  <c r="AV107" i="5"/>
  <c r="AR107" i="5"/>
  <c r="AV105" i="5"/>
  <c r="BU104" i="5"/>
  <c r="BQ104" i="5"/>
  <c r="BM104" i="5"/>
  <c r="BI104" i="5"/>
  <c r="BE104" i="5"/>
  <c r="BA104" i="5"/>
  <c r="AW104" i="5"/>
  <c r="AS104" i="5"/>
  <c r="AU103" i="5"/>
  <c r="BU102" i="5"/>
  <c r="BQ102" i="5"/>
  <c r="BM102" i="5"/>
  <c r="BI102" i="5"/>
  <c r="BE102" i="5"/>
  <c r="BA102" i="5"/>
  <c r="AW102" i="5"/>
  <c r="AS102" i="5"/>
  <c r="BS101" i="5"/>
  <c r="BO101" i="5"/>
  <c r="BK101" i="5"/>
  <c r="BG101" i="5"/>
  <c r="BC101" i="5"/>
  <c r="AY101" i="5"/>
  <c r="AU101" i="5"/>
  <c r="BU100" i="5"/>
  <c r="BQ100" i="5"/>
  <c r="BM100" i="5"/>
  <c r="BI100" i="5"/>
  <c r="BE100" i="5"/>
  <c r="BA100" i="5"/>
  <c r="AW100" i="5"/>
  <c r="AS100" i="5"/>
  <c r="BS99" i="5"/>
  <c r="BO99" i="5"/>
  <c r="BK99" i="5"/>
  <c r="BG99" i="5"/>
  <c r="BC99" i="5"/>
  <c r="AY99" i="5"/>
  <c r="AU99" i="5"/>
  <c r="BU98" i="5"/>
  <c r="BQ98" i="5"/>
  <c r="BM98" i="5"/>
  <c r="BI98" i="5"/>
  <c r="BE98" i="5"/>
  <c r="BA98" i="5"/>
  <c r="AW98" i="5"/>
  <c r="AS98" i="5"/>
  <c r="BS97" i="5"/>
  <c r="BO97" i="5"/>
  <c r="BK97" i="5"/>
  <c r="BG97" i="5"/>
  <c r="BC97" i="5"/>
  <c r="AY97" i="5"/>
  <c r="AU97" i="5"/>
  <c r="BU96" i="5"/>
  <c r="BQ96" i="5"/>
  <c r="BM96" i="5"/>
  <c r="BI96" i="5"/>
  <c r="BE96" i="5"/>
  <c r="BA96" i="5"/>
  <c r="AW96" i="5"/>
  <c r="AS96" i="5"/>
  <c r="AR124" i="5"/>
  <c r="AT117" i="5"/>
  <c r="AT123" i="5"/>
  <c r="AR122" i="5"/>
  <c r="AS119" i="5"/>
  <c r="AS117" i="5"/>
  <c r="BN116" i="5"/>
  <c r="BB116" i="5"/>
  <c r="AU116" i="5"/>
  <c r="AS115" i="5"/>
  <c r="BS113" i="5"/>
  <c r="BN113" i="5"/>
  <c r="BI113" i="5"/>
  <c r="BC113" i="5"/>
  <c r="AX113" i="5"/>
  <c r="AS113" i="5"/>
  <c r="AR111" i="5"/>
  <c r="BQ110" i="5"/>
  <c r="BL110" i="5"/>
  <c r="BG110" i="5"/>
  <c r="BC110" i="5"/>
  <c r="AY110" i="5"/>
  <c r="AU110" i="5"/>
  <c r="AT109" i="5"/>
  <c r="AR108" i="5"/>
  <c r="BR107" i="5"/>
  <c r="BN107" i="5"/>
  <c r="BJ107" i="5"/>
  <c r="BF107" i="5"/>
  <c r="BB107" i="5"/>
  <c r="AX107" i="5"/>
  <c r="AT107" i="5"/>
  <c r="BF116" i="5"/>
  <c r="BO113" i="5"/>
  <c r="AT113" i="5"/>
  <c r="BH110" i="5"/>
  <c r="AR110" i="5"/>
  <c r="BK107" i="5"/>
  <c r="AU107" i="5"/>
  <c r="AS105" i="5"/>
  <c r="BO104" i="5"/>
  <c r="BG104" i="5"/>
  <c r="AY104" i="5"/>
  <c r="BL103" i="5"/>
  <c r="BS102" i="5"/>
  <c r="BK102" i="5"/>
  <c r="BC102" i="5"/>
  <c r="AU102" i="5"/>
  <c r="BQ101" i="5"/>
  <c r="BI101" i="5"/>
  <c r="BA101" i="5"/>
  <c r="AS101" i="5"/>
  <c r="BO100" i="5"/>
  <c r="BG100" i="5"/>
  <c r="AY100" i="5"/>
  <c r="BU99" i="5"/>
  <c r="BM99" i="5"/>
  <c r="BE99" i="5"/>
  <c r="AW99" i="5"/>
  <c r="BS98" i="5"/>
  <c r="BK98" i="5"/>
  <c r="BC98" i="5"/>
  <c r="AU98" i="5"/>
  <c r="BQ97" i="5"/>
  <c r="BI97" i="5"/>
  <c r="BA97" i="5"/>
  <c r="AS97" i="5"/>
  <c r="BO96" i="5"/>
  <c r="BG96" i="5"/>
  <c r="AY96" i="5"/>
  <c r="AY102" i="5"/>
  <c r="BS100" i="5"/>
  <c r="AU100" i="5"/>
  <c r="BA99" i="5"/>
  <c r="BG98" i="5"/>
  <c r="BM97" i="5"/>
  <c r="BE97" i="5"/>
  <c r="BS96" i="5"/>
  <c r="BC96" i="5"/>
  <c r="AY113" i="5"/>
  <c r="BM110" i="5"/>
  <c r="BO107" i="5"/>
  <c r="AT105" i="5"/>
  <c r="BH104" i="5"/>
  <c r="AR104" i="5"/>
  <c r="BD102" i="5"/>
  <c r="BR101" i="5"/>
  <c r="BB101" i="5"/>
  <c r="BP100" i="5"/>
  <c r="AZ100" i="5"/>
  <c r="BF99" i="5"/>
  <c r="BL98" i="5"/>
  <c r="AV98" i="5"/>
  <c r="BB97" i="5"/>
  <c r="BH96" i="5"/>
  <c r="AR96" i="5"/>
  <c r="AV116" i="5"/>
  <c r="BJ113" i="5"/>
  <c r="AT111" i="5"/>
  <c r="BD110" i="5"/>
  <c r="AS108" i="5"/>
  <c r="BG107" i="5"/>
  <c r="AS106" i="5"/>
  <c r="BT104" i="5"/>
  <c r="BL104" i="5"/>
  <c r="BD104" i="5"/>
  <c r="AV104" i="5"/>
  <c r="AT103" i="5"/>
  <c r="BP102" i="5"/>
  <c r="BH102" i="5"/>
  <c r="AZ102" i="5"/>
  <c r="AR102" i="5"/>
  <c r="BN101" i="5"/>
  <c r="BF101" i="5"/>
  <c r="AX101" i="5"/>
  <c r="BT100" i="5"/>
  <c r="BL100" i="5"/>
  <c r="BD100" i="5"/>
  <c r="AV100" i="5"/>
  <c r="BR99" i="5"/>
  <c r="BJ99" i="5"/>
  <c r="BB99" i="5"/>
  <c r="AT99" i="5"/>
  <c r="BP98" i="5"/>
  <c r="BH98" i="5"/>
  <c r="AZ98" i="5"/>
  <c r="AR98" i="5"/>
  <c r="BN97" i="5"/>
  <c r="BF97" i="5"/>
  <c r="AX97" i="5"/>
  <c r="BT96" i="5"/>
  <c r="BL96" i="5"/>
  <c r="BD96" i="5"/>
  <c r="AV96" i="5"/>
  <c r="AT115" i="5"/>
  <c r="BE113" i="5"/>
  <c r="AZ110" i="5"/>
  <c r="BS107" i="5"/>
  <c r="BC107" i="5"/>
  <c r="BS104" i="5"/>
  <c r="BC104" i="5"/>
  <c r="AS103" i="5"/>
  <c r="BG102" i="5"/>
  <c r="BM101" i="5"/>
  <c r="AW101" i="5"/>
  <c r="BK100" i="5"/>
  <c r="BQ99" i="5"/>
  <c r="AS99" i="5"/>
  <c r="AY98" i="5"/>
  <c r="AX99" i="5"/>
  <c r="BR97" i="5"/>
  <c r="AT97" i="5"/>
  <c r="BR110" i="5"/>
  <c r="AR106" i="5"/>
  <c r="BK104" i="5"/>
  <c r="AU104" i="5"/>
  <c r="BO102" i="5"/>
  <c r="BU101" i="5"/>
  <c r="BE101" i="5"/>
  <c r="BC100" i="5"/>
  <c r="BI99" i="5"/>
  <c r="BO98" i="5"/>
  <c r="BU97" i="5"/>
  <c r="AW97" i="5"/>
  <c r="BK96" i="5"/>
  <c r="AU96" i="5"/>
  <c r="BU113" i="5"/>
  <c r="AV110" i="5"/>
  <c r="AY107" i="5"/>
  <c r="BP104" i="5"/>
  <c r="AZ104" i="5"/>
  <c r="BT102" i="5"/>
  <c r="BL102" i="5"/>
  <c r="AV102" i="5"/>
  <c r="BJ101" i="5"/>
  <c r="AT101" i="5"/>
  <c r="BH100" i="5"/>
  <c r="AR100" i="5"/>
  <c r="BN99" i="5"/>
  <c r="BT98" i="5"/>
  <c r="BD98" i="5"/>
  <c r="BJ97" i="5"/>
  <c r="BP96" i="5"/>
  <c r="AZ96" i="5"/>
  <c r="AV103" i="5"/>
  <c r="BS103" i="5"/>
  <c r="BN103" i="5"/>
  <c r="AX103" i="5"/>
  <c r="BI103" i="5"/>
  <c r="AY103" i="5"/>
  <c r="BS105" i="5"/>
  <c r="BC105" i="5"/>
  <c r="BN105" i="5"/>
  <c r="BI105" i="5"/>
  <c r="BQ116" i="5"/>
  <c r="BL116" i="5"/>
  <c r="BF105" i="5"/>
  <c r="BI116" i="5"/>
  <c r="BD103" i="5"/>
  <c r="BO103" i="5"/>
  <c r="BJ103" i="5"/>
  <c r="BU103" i="5"/>
  <c r="BE103" i="5"/>
  <c r="BG103" i="5"/>
  <c r="BO105" i="5"/>
  <c r="AY105" i="5"/>
  <c r="BJ105" i="5"/>
  <c r="BU105" i="5"/>
  <c r="BE105" i="5"/>
  <c r="BH103" i="5"/>
  <c r="BM116" i="5"/>
  <c r="AW116" i="5"/>
  <c r="BH116" i="5"/>
  <c r="AZ105" i="5"/>
  <c r="BK103" i="5"/>
  <c r="BF103" i="5"/>
  <c r="BQ103" i="5"/>
  <c r="BA103" i="5"/>
  <c r="BT103" i="5"/>
  <c r="AU105" i="5"/>
  <c r="BA105" i="5"/>
  <c r="BT116" i="5"/>
  <c r="BP105" i="5"/>
  <c r="BR103" i="5"/>
  <c r="BB103" i="5"/>
  <c r="BM103" i="5"/>
  <c r="AW103" i="5"/>
  <c r="BD105" i="5"/>
  <c r="BG105" i="5"/>
  <c r="BR105" i="5"/>
  <c r="BB105" i="5"/>
  <c r="BM105" i="5"/>
  <c r="AW105" i="5"/>
  <c r="BU116" i="5"/>
  <c r="BE116" i="5"/>
  <c r="BP116" i="5"/>
  <c r="AX105" i="5"/>
  <c r="AZ103" i="5"/>
  <c r="BA116" i="5"/>
  <c r="BK105" i="5"/>
  <c r="BQ105" i="5"/>
  <c r="BH105" i="5"/>
  <c r="BD116" i="5"/>
  <c r="BT119" i="5"/>
  <c r="BD119" i="5"/>
  <c r="BO119" i="5"/>
  <c r="AY119" i="5"/>
  <c r="BJ119" i="5"/>
  <c r="AT119" i="5"/>
  <c r="BU119" i="5"/>
  <c r="BU108" i="5"/>
  <c r="BE108" i="5"/>
  <c r="BP108" i="5"/>
  <c r="AZ108" i="5"/>
  <c r="BK108" i="5"/>
  <c r="AU108" i="5"/>
  <c r="BJ108" i="5"/>
  <c r="BU106" i="5"/>
  <c r="BE106" i="5"/>
  <c r="BP106" i="5"/>
  <c r="AZ106" i="5"/>
  <c r="BK106" i="5"/>
  <c r="AU106" i="5"/>
  <c r="BN106" i="5"/>
  <c r="BP119" i="5"/>
  <c r="AZ119" i="5"/>
  <c r="BK119" i="5"/>
  <c r="AU119" i="5"/>
  <c r="BF119" i="5"/>
  <c r="BM119" i="5"/>
  <c r="BE119" i="5"/>
  <c r="BQ108" i="5"/>
  <c r="BA108" i="5"/>
  <c r="BL108" i="5"/>
  <c r="AV108" i="5"/>
  <c r="BG108" i="5"/>
  <c r="BF108" i="5"/>
  <c r="BN108" i="5"/>
  <c r="BQ106" i="5"/>
  <c r="BA106" i="5"/>
  <c r="BL106" i="5"/>
  <c r="AV106" i="5"/>
  <c r="BG106" i="5"/>
  <c r="BR106" i="5"/>
  <c r="AX106" i="5"/>
  <c r="BC119" i="5"/>
  <c r="AX119" i="5"/>
  <c r="BQ119" i="5"/>
  <c r="BT108" i="5"/>
  <c r="AY108" i="5"/>
  <c r="AT108" i="5"/>
  <c r="BT106" i="5"/>
  <c r="BO106" i="5"/>
  <c r="BF106" i="5"/>
  <c r="BL119" i="5"/>
  <c r="AV119" i="5"/>
  <c r="BG119" i="5"/>
  <c r="BR119" i="5"/>
  <c r="BB119" i="5"/>
  <c r="AW119" i="5"/>
  <c r="BA119" i="5"/>
  <c r="BM108" i="5"/>
  <c r="AW108" i="5"/>
  <c r="BH108" i="5"/>
  <c r="BS108" i="5"/>
  <c r="BC108" i="5"/>
  <c r="BR108" i="5"/>
  <c r="AX108" i="5"/>
  <c r="BM106" i="5"/>
  <c r="AW106" i="5"/>
  <c r="BH106" i="5"/>
  <c r="BS106" i="5"/>
  <c r="BC106" i="5"/>
  <c r="BB106" i="5"/>
  <c r="BJ106" i="5"/>
  <c r="BH119" i="5"/>
  <c r="BS119" i="5"/>
  <c r="BN119" i="5"/>
  <c r="BI119" i="5"/>
  <c r="BI108" i="5"/>
  <c r="BD108" i="5"/>
  <c r="BO108" i="5"/>
  <c r="BB108" i="5"/>
  <c r="BI106" i="5"/>
  <c r="BD106" i="5"/>
  <c r="AY106" i="5"/>
  <c r="AT106" i="5"/>
  <c r="BS109" i="5"/>
  <c r="BC109" i="5"/>
  <c r="BN109" i="5"/>
  <c r="AX109" i="5"/>
  <c r="BI109" i="5"/>
  <c r="BP109" i="5"/>
  <c r="AV109" i="5"/>
  <c r="BO111" i="5"/>
  <c r="AY111" i="5"/>
  <c r="BJ111" i="5"/>
  <c r="BU111" i="5"/>
  <c r="BE111" i="5"/>
  <c r="AZ111" i="5"/>
  <c r="BD111" i="5"/>
  <c r="BJ122" i="5"/>
  <c r="BU122" i="5"/>
  <c r="BE122" i="5"/>
  <c r="BP122" i="5"/>
  <c r="AZ122" i="5"/>
  <c r="BC122" i="5"/>
  <c r="AU122" i="5"/>
  <c r="BM122" i="5"/>
  <c r="AY122" i="5"/>
  <c r="BK122" i="5"/>
  <c r="BO109" i="5"/>
  <c r="AY109" i="5"/>
  <c r="BJ109" i="5"/>
  <c r="BU109" i="5"/>
  <c r="BE109" i="5"/>
  <c r="AZ109" i="5"/>
  <c r="BH109" i="5"/>
  <c r="BK111" i="5"/>
  <c r="AU111" i="5"/>
  <c r="BF111" i="5"/>
  <c r="BQ111" i="5"/>
  <c r="BA111" i="5"/>
  <c r="BT111" i="5"/>
  <c r="BH111" i="5"/>
  <c r="BF122" i="5"/>
  <c r="BQ122" i="5"/>
  <c r="BA122" i="5"/>
  <c r="BL122" i="5"/>
  <c r="AV122" i="5"/>
  <c r="BO122" i="5"/>
  <c r="AW122" i="5"/>
  <c r="BS122" i="5"/>
  <c r="BK109" i="5"/>
  <c r="AU109" i="5"/>
  <c r="BF109" i="5"/>
  <c r="BQ109" i="5"/>
  <c r="BA109" i="5"/>
  <c r="BD109" i="5"/>
  <c r="BT109" i="5"/>
  <c r="BG111" i="5"/>
  <c r="BR111" i="5"/>
  <c r="BB111" i="5"/>
  <c r="BM111" i="5"/>
  <c r="AW111" i="5"/>
  <c r="BL111" i="5"/>
  <c r="BR122" i="5"/>
  <c r="BB122" i="5"/>
  <c r="BH122" i="5"/>
  <c r="BG122" i="5"/>
  <c r="BG109" i="5"/>
  <c r="BR109" i="5"/>
  <c r="BB109" i="5"/>
  <c r="BM109" i="5"/>
  <c r="AW109" i="5"/>
  <c r="BL109" i="5"/>
  <c r="BS111" i="5"/>
  <c r="BC111" i="5"/>
  <c r="BN111" i="5"/>
  <c r="AX111" i="5"/>
  <c r="BI111" i="5"/>
  <c r="BP111" i="5"/>
  <c r="AV111" i="5"/>
  <c r="BN122" i="5"/>
  <c r="AX122" i="5"/>
  <c r="BI122" i="5"/>
  <c r="BT122" i="5"/>
  <c r="BD122" i="5"/>
  <c r="BT125" i="5"/>
  <c r="BD125" i="5"/>
  <c r="BM125" i="5"/>
  <c r="BQ125" i="5"/>
  <c r="AU125" i="5"/>
  <c r="BE125" i="5"/>
  <c r="BI125" i="5"/>
  <c r="BU114" i="5"/>
  <c r="BE114" i="5"/>
  <c r="BP114" i="5"/>
  <c r="AZ114" i="5"/>
  <c r="BK114" i="5"/>
  <c r="AU114" i="5"/>
  <c r="AT114" i="5"/>
  <c r="BU112" i="5"/>
  <c r="BE112" i="5"/>
  <c r="BP112" i="5"/>
  <c r="AZ112" i="5"/>
  <c r="BK112" i="5"/>
  <c r="AU112" i="5"/>
  <c r="BN112" i="5"/>
  <c r="BO114" i="5"/>
  <c r="BO112" i="5"/>
  <c r="BF112" i="5"/>
  <c r="BP125" i="5"/>
  <c r="AZ125" i="5"/>
  <c r="BG125" i="5"/>
  <c r="BK125" i="5"/>
  <c r="BU125" i="5"/>
  <c r="AY125" i="5"/>
  <c r="BC125" i="5"/>
  <c r="BQ114" i="5"/>
  <c r="BA114" i="5"/>
  <c r="BL114" i="5"/>
  <c r="AV114" i="5"/>
  <c r="BG114" i="5"/>
  <c r="BN114" i="5"/>
  <c r="BR114" i="5"/>
  <c r="BQ112" i="5"/>
  <c r="BA112" i="5"/>
  <c r="BL112" i="5"/>
  <c r="AV112" i="5"/>
  <c r="BG112" i="5"/>
  <c r="BJ112" i="5"/>
  <c r="BR112" i="5"/>
  <c r="BT114" i="5"/>
  <c r="BD112" i="5"/>
  <c r="AY112" i="5"/>
  <c r="AX112" i="5"/>
  <c r="BL125" i="5"/>
  <c r="AV125" i="5"/>
  <c r="BB125" i="5"/>
  <c r="BF125" i="5"/>
  <c r="BO125" i="5"/>
  <c r="AT125" i="5"/>
  <c r="AX125" i="5"/>
  <c r="BM114" i="5"/>
  <c r="AW114" i="5"/>
  <c r="BH114" i="5"/>
  <c r="BS114" i="5"/>
  <c r="BC114" i="5"/>
  <c r="AX114" i="5"/>
  <c r="BF114" i="5"/>
  <c r="BM112" i="5"/>
  <c r="AW112" i="5"/>
  <c r="BH112" i="5"/>
  <c r="BS112" i="5"/>
  <c r="BC112" i="5"/>
  <c r="AT112" i="5"/>
  <c r="BB112" i="5"/>
  <c r="BI114" i="5"/>
  <c r="BH125" i="5"/>
  <c r="BR125" i="5"/>
  <c r="AW125" i="5"/>
  <c r="BA125" i="5"/>
  <c r="BJ125" i="5"/>
  <c r="BN125" i="5"/>
  <c r="BS125" i="5"/>
  <c r="BD114" i="5"/>
  <c r="AY114" i="5"/>
  <c r="BJ114" i="5"/>
  <c r="BB114" i="5"/>
  <c r="BI112" i="5"/>
  <c r="BT112" i="5"/>
  <c r="BS115" i="5"/>
  <c r="BC115" i="5"/>
  <c r="BN115" i="5"/>
  <c r="AX115" i="5"/>
  <c r="BI115" i="5"/>
  <c r="BH115" i="5"/>
  <c r="BP115" i="5"/>
  <c r="BO117" i="5"/>
  <c r="AY117" i="5"/>
  <c r="BJ117" i="5"/>
  <c r="BT117" i="5"/>
  <c r="BQ117" i="5"/>
  <c r="BH117" i="5"/>
  <c r="AW117" i="5"/>
  <c r="BO115" i="5"/>
  <c r="AY115" i="5"/>
  <c r="BJ115" i="5"/>
  <c r="BU115" i="5"/>
  <c r="BE115" i="5"/>
  <c r="AV115" i="5"/>
  <c r="AZ115" i="5"/>
  <c r="BK117" i="5"/>
  <c r="AU117" i="5"/>
  <c r="BF117" i="5"/>
  <c r="BL117" i="5"/>
  <c r="BI117" i="5"/>
  <c r="AZ117" i="5"/>
  <c r="BE117" i="5"/>
  <c r="BK115" i="5"/>
  <c r="AU115" i="5"/>
  <c r="BF115" i="5"/>
  <c r="BQ115" i="5"/>
  <c r="BA115" i="5"/>
  <c r="BT115" i="5"/>
  <c r="BL115" i="5"/>
  <c r="BG117" i="5"/>
  <c r="BR117" i="5"/>
  <c r="BB117" i="5"/>
  <c r="BD117" i="5"/>
  <c r="BA117" i="5"/>
  <c r="BU117" i="5"/>
  <c r="BG115" i="5"/>
  <c r="BR115" i="5"/>
  <c r="BB115" i="5"/>
  <c r="BM115" i="5"/>
  <c r="AW115" i="5"/>
  <c r="BD115" i="5"/>
  <c r="BS117" i="5"/>
  <c r="BC117" i="5"/>
  <c r="BN117" i="5"/>
  <c r="AX117" i="5"/>
  <c r="AV117" i="5"/>
  <c r="BP117" i="5"/>
  <c r="BM117" i="5"/>
  <c r="BR120" i="5"/>
  <c r="BB120" i="5"/>
  <c r="BQ120" i="5"/>
  <c r="BA120" i="5"/>
  <c r="BL120" i="5"/>
  <c r="AV120" i="5"/>
  <c r="BO120" i="5"/>
  <c r="BU118" i="5"/>
  <c r="BE118" i="5"/>
  <c r="BP118" i="5"/>
  <c r="AZ118" i="5"/>
  <c r="BB118" i="5"/>
  <c r="AY118" i="5"/>
  <c r="BC118" i="5"/>
  <c r="BN120" i="5"/>
  <c r="AX120" i="5"/>
  <c r="BM120" i="5"/>
  <c r="AW120" i="5"/>
  <c r="BH120" i="5"/>
  <c r="BG120" i="5"/>
  <c r="AY120" i="5"/>
  <c r="BQ118" i="5"/>
  <c r="BA118" i="5"/>
  <c r="BL118" i="5"/>
  <c r="AV118" i="5"/>
  <c r="AT118" i="5"/>
  <c r="BN118" i="5"/>
  <c r="AU118" i="5"/>
  <c r="BJ120" i="5"/>
  <c r="AT120" i="5"/>
  <c r="BI120" i="5"/>
  <c r="BT120" i="5"/>
  <c r="BD120" i="5"/>
  <c r="BS120" i="5"/>
  <c r="BK120" i="5"/>
  <c r="BM118" i="5"/>
  <c r="AW118" i="5"/>
  <c r="BH118" i="5"/>
  <c r="BR118" i="5"/>
  <c r="BO118" i="5"/>
  <c r="BF118" i="5"/>
  <c r="BS118" i="5"/>
  <c r="BF120" i="5"/>
  <c r="BU120" i="5"/>
  <c r="BE120" i="5"/>
  <c r="BP120" i="5"/>
  <c r="AZ120" i="5"/>
  <c r="BC120" i="5"/>
  <c r="AU120" i="5"/>
  <c r="BI118" i="5"/>
  <c r="BT118" i="5"/>
  <c r="BD118" i="5"/>
  <c r="BJ118" i="5"/>
  <c r="BG118" i="5"/>
  <c r="AX118" i="5"/>
  <c r="BK118" i="5"/>
  <c r="BT121" i="5"/>
  <c r="BD121" i="5"/>
  <c r="BO121" i="5"/>
  <c r="AY121" i="5"/>
  <c r="BJ121" i="5"/>
  <c r="BQ121" i="5"/>
  <c r="BI121" i="5"/>
  <c r="BP123" i="5"/>
  <c r="AZ123" i="5"/>
  <c r="BK123" i="5"/>
  <c r="AU123" i="5"/>
  <c r="BF123" i="5"/>
  <c r="BA123" i="5"/>
  <c r="BE123" i="5"/>
  <c r="BQ123" i="5"/>
  <c r="BP121" i="5"/>
  <c r="AZ121" i="5"/>
  <c r="BK121" i="5"/>
  <c r="AU121" i="5"/>
  <c r="BF121" i="5"/>
  <c r="BA121" i="5"/>
  <c r="BU121" i="5"/>
  <c r="BL123" i="5"/>
  <c r="AV123" i="5"/>
  <c r="BG123" i="5"/>
  <c r="BR123" i="5"/>
  <c r="BB123" i="5"/>
  <c r="BM123" i="5"/>
  <c r="BU123" i="5"/>
  <c r="BI123" i="5"/>
  <c r="BL121" i="5"/>
  <c r="AV121" i="5"/>
  <c r="BG121" i="5"/>
  <c r="BR121" i="5"/>
  <c r="BB121" i="5"/>
  <c r="BM121" i="5"/>
  <c r="BE121" i="5"/>
  <c r="BH123" i="5"/>
  <c r="BS123" i="5"/>
  <c r="BC123" i="5"/>
  <c r="BN123" i="5"/>
  <c r="AX123" i="5"/>
  <c r="AW123" i="5"/>
  <c r="BH121" i="5"/>
  <c r="BS121" i="5"/>
  <c r="BC121" i="5"/>
  <c r="BN121" i="5"/>
  <c r="AX121" i="5"/>
  <c r="AW121" i="5"/>
  <c r="BT123" i="5"/>
  <c r="BD123" i="5"/>
  <c r="BO123" i="5"/>
  <c r="AY123" i="5"/>
  <c r="BJ123" i="5"/>
  <c r="BR124" i="5"/>
  <c r="BB124" i="5"/>
  <c r="BQ124" i="5"/>
  <c r="BA124" i="5"/>
  <c r="BL124" i="5"/>
  <c r="AV124" i="5"/>
  <c r="BS124" i="5"/>
  <c r="AX124" i="5"/>
  <c r="AW124" i="5"/>
  <c r="BK124" i="5"/>
  <c r="BJ124" i="5"/>
  <c r="AT124" i="5"/>
  <c r="BI124" i="5"/>
  <c r="BT124" i="5"/>
  <c r="BD124" i="5"/>
  <c r="AU124" i="5"/>
  <c r="AY124" i="5"/>
  <c r="BF124" i="5"/>
  <c r="BU124" i="5"/>
  <c r="BE124" i="5"/>
  <c r="BP124" i="5"/>
  <c r="AZ124" i="5"/>
  <c r="BG124" i="5"/>
  <c r="BO124" i="5"/>
  <c r="BN124" i="5"/>
  <c r="BM124" i="5"/>
  <c r="BH124" i="5"/>
  <c r="BC124" i="5"/>
  <c r="BU92" i="5"/>
  <c r="BQ92" i="5"/>
  <c r="BM92" i="5"/>
  <c r="BI92" i="5"/>
  <c r="BE92" i="5"/>
  <c r="BA92" i="5"/>
  <c r="AW92" i="5"/>
  <c r="AS92" i="5"/>
  <c r="BS91" i="5"/>
  <c r="BO91" i="5"/>
  <c r="BK91" i="5"/>
  <c r="BG91" i="5"/>
  <c r="BC91" i="5"/>
  <c r="AY91" i="5"/>
  <c r="AU91" i="5"/>
  <c r="BU90" i="5"/>
  <c r="BQ90" i="5"/>
  <c r="BM90" i="5"/>
  <c r="BI90" i="5"/>
  <c r="BE90" i="5"/>
  <c r="BA90" i="5"/>
  <c r="AW90" i="5"/>
  <c r="AS90" i="5"/>
  <c r="BS89" i="5"/>
  <c r="BO89" i="5"/>
  <c r="BK89" i="5"/>
  <c r="BG89" i="5"/>
  <c r="BC89" i="5"/>
  <c r="AY89" i="5"/>
  <c r="AU89" i="5"/>
  <c r="BU88" i="5"/>
  <c r="BQ88" i="5"/>
  <c r="BM88" i="5"/>
  <c r="BI88" i="5"/>
  <c r="BE88" i="5"/>
  <c r="BA88" i="5"/>
  <c r="AW88" i="5"/>
  <c r="AS88" i="5"/>
  <c r="BS87" i="5"/>
  <c r="BO87" i="5"/>
  <c r="BK87" i="5"/>
  <c r="BG87" i="5"/>
  <c r="BC87" i="5"/>
  <c r="AY87" i="5"/>
  <c r="AU87" i="5"/>
  <c r="BU86" i="5"/>
  <c r="BQ86" i="5"/>
  <c r="BM86" i="5"/>
  <c r="BI86" i="5"/>
  <c r="BE86" i="5"/>
  <c r="BA86" i="5"/>
  <c r="AW86" i="5"/>
  <c r="AS86" i="5"/>
  <c r="BS85" i="5"/>
  <c r="BO85" i="5"/>
  <c r="BK85" i="5"/>
  <c r="BG85" i="5"/>
  <c r="BC85" i="5"/>
  <c r="AY85" i="5"/>
  <c r="AU85" i="5"/>
  <c r="BU84" i="5"/>
  <c r="BQ84" i="5"/>
  <c r="BM84" i="5"/>
  <c r="BI84" i="5"/>
  <c r="BE84" i="5"/>
  <c r="BA84" i="5"/>
  <c r="AW84" i="5"/>
  <c r="AS84" i="5"/>
  <c r="BS83" i="5"/>
  <c r="BO83" i="5"/>
  <c r="BK83" i="5"/>
  <c r="BG83" i="5"/>
  <c r="BC83" i="5"/>
  <c r="AY83" i="5"/>
  <c r="AU83" i="5"/>
  <c r="BU82" i="5"/>
  <c r="BQ82" i="5"/>
  <c r="BM82" i="5"/>
  <c r="BI82" i="5"/>
  <c r="BE82" i="5"/>
  <c r="BA82" i="5"/>
  <c r="AW82" i="5"/>
  <c r="AS82" i="5"/>
  <c r="BS81" i="5"/>
  <c r="BO81" i="5"/>
  <c r="BK81" i="5"/>
  <c r="BG81" i="5"/>
  <c r="BC81" i="5"/>
  <c r="AY81" i="5"/>
  <c r="AU81" i="5"/>
  <c r="BU80" i="5"/>
  <c r="BQ80" i="5"/>
  <c r="BM80" i="5"/>
  <c r="BI80" i="5"/>
  <c r="BE80" i="5"/>
  <c r="BA80" i="5"/>
  <c r="AW80" i="5"/>
  <c r="AS80" i="5"/>
  <c r="BS79" i="5"/>
  <c r="BO79" i="5"/>
  <c r="BK79" i="5"/>
  <c r="BG79" i="5"/>
  <c r="BC79" i="5"/>
  <c r="AY79" i="5"/>
  <c r="AU79" i="5"/>
  <c r="BU78" i="5"/>
  <c r="BQ78" i="5"/>
  <c r="BM78" i="5"/>
  <c r="BI78" i="5"/>
  <c r="BE78" i="5"/>
  <c r="BA78" i="5"/>
  <c r="AW78" i="5"/>
  <c r="AS78" i="5"/>
  <c r="BS77" i="5"/>
  <c r="BO77" i="5"/>
  <c r="BK77" i="5"/>
  <c r="BG77" i="5"/>
  <c r="BC77" i="5"/>
  <c r="AY77" i="5"/>
  <c r="AU77" i="5"/>
  <c r="BU76" i="5"/>
  <c r="BQ76" i="5"/>
  <c r="BM76" i="5"/>
  <c r="BI76" i="5"/>
  <c r="BE76" i="5"/>
  <c r="BA76" i="5"/>
  <c r="AW76" i="5"/>
  <c r="AS76" i="5"/>
  <c r="BS75" i="5"/>
  <c r="BO75" i="5"/>
  <c r="BK75" i="5"/>
  <c r="BG75" i="5"/>
  <c r="BC75" i="5"/>
  <c r="AY75" i="5"/>
  <c r="AU75" i="5"/>
  <c r="BU74" i="5"/>
  <c r="BQ74" i="5"/>
  <c r="BM74" i="5"/>
  <c r="BI74" i="5"/>
  <c r="BE74" i="5"/>
  <c r="BA74" i="5"/>
  <c r="AW74" i="5"/>
  <c r="AS74" i="5"/>
  <c r="BS73" i="5"/>
  <c r="BO73" i="5"/>
  <c r="BK73" i="5"/>
  <c r="BG73" i="5"/>
  <c r="BC73" i="5"/>
  <c r="AY73" i="5"/>
  <c r="AU73" i="5"/>
  <c r="BU72" i="5"/>
  <c r="BQ72" i="5"/>
  <c r="BM72" i="5"/>
  <c r="BI72" i="5"/>
  <c r="BE72" i="5"/>
  <c r="BA72" i="5"/>
  <c r="AW72" i="5"/>
  <c r="AS72" i="5"/>
  <c r="BS71" i="5"/>
  <c r="BO71" i="5"/>
  <c r="BK71" i="5"/>
  <c r="BG71" i="5"/>
  <c r="BC71" i="5"/>
  <c r="AY71" i="5"/>
  <c r="AU71" i="5"/>
  <c r="BU70" i="5"/>
  <c r="BQ70" i="5"/>
  <c r="BM70" i="5"/>
  <c r="BI70" i="5"/>
  <c r="BE70" i="5"/>
  <c r="BA70" i="5"/>
  <c r="AW70" i="5"/>
  <c r="AS70" i="5"/>
  <c r="BS69" i="5"/>
  <c r="BO69" i="5"/>
  <c r="BK69" i="5"/>
  <c r="BG69" i="5"/>
  <c r="BC69" i="5"/>
  <c r="AY69" i="5"/>
  <c r="AU69" i="5"/>
  <c r="BU68" i="5"/>
  <c r="BQ68" i="5"/>
  <c r="BM68" i="5"/>
  <c r="BI68" i="5"/>
  <c r="BE68" i="5"/>
  <c r="BA68" i="5"/>
  <c r="AW68" i="5"/>
  <c r="AS68" i="5"/>
  <c r="BS67" i="5"/>
  <c r="BO67" i="5"/>
  <c r="BK67" i="5"/>
  <c r="BG67" i="5"/>
  <c r="BC67" i="5"/>
  <c r="AY67" i="5"/>
  <c r="AU67" i="5"/>
  <c r="BU66" i="5"/>
  <c r="BQ66" i="5"/>
  <c r="BM66" i="5"/>
  <c r="BI66" i="5"/>
  <c r="BE66" i="5"/>
  <c r="BA66" i="5"/>
  <c r="AW66" i="5"/>
  <c r="AS66" i="5"/>
  <c r="BS65" i="5"/>
  <c r="BO65" i="5"/>
  <c r="BK65" i="5"/>
  <c r="BG65" i="5"/>
  <c r="BC65" i="5"/>
  <c r="AY65" i="5"/>
  <c r="BT92" i="5"/>
  <c r="BP92" i="5"/>
  <c r="BL92" i="5"/>
  <c r="BH92" i="5"/>
  <c r="BD92" i="5"/>
  <c r="AZ92" i="5"/>
  <c r="AV92" i="5"/>
  <c r="AR92" i="5"/>
  <c r="BS92" i="5"/>
  <c r="BK92" i="5"/>
  <c r="BC92" i="5"/>
  <c r="AU92" i="5"/>
  <c r="BR91" i="5"/>
  <c r="BM91" i="5"/>
  <c r="BH91" i="5"/>
  <c r="BB91" i="5"/>
  <c r="AW91" i="5"/>
  <c r="AR91" i="5"/>
  <c r="BP90" i="5"/>
  <c r="BK90" i="5"/>
  <c r="BF90" i="5"/>
  <c r="AZ90" i="5"/>
  <c r="AU90" i="5"/>
  <c r="BT89" i="5"/>
  <c r="BN89" i="5"/>
  <c r="BI89" i="5"/>
  <c r="BD89" i="5"/>
  <c r="AX89" i="5"/>
  <c r="AS89" i="5"/>
  <c r="BR88" i="5"/>
  <c r="BL88" i="5"/>
  <c r="BG88" i="5"/>
  <c r="BB88" i="5"/>
  <c r="AV88" i="5"/>
  <c r="BU87" i="5"/>
  <c r="BP87" i="5"/>
  <c r="BJ87" i="5"/>
  <c r="BE87" i="5"/>
  <c r="AZ87" i="5"/>
  <c r="AT87" i="5"/>
  <c r="BS86" i="5"/>
  <c r="BN86" i="5"/>
  <c r="BH86" i="5"/>
  <c r="BC86" i="5"/>
  <c r="AX86" i="5"/>
  <c r="AR86" i="5"/>
  <c r="BQ85" i="5"/>
  <c r="BL85" i="5"/>
  <c r="BF85" i="5"/>
  <c r="BA85" i="5"/>
  <c r="AV85" i="5"/>
  <c r="BT84" i="5"/>
  <c r="BO84" i="5"/>
  <c r="BJ84" i="5"/>
  <c r="BD84" i="5"/>
  <c r="AY84" i="5"/>
  <c r="AT84" i="5"/>
  <c r="BR83" i="5"/>
  <c r="BM83" i="5"/>
  <c r="BH83" i="5"/>
  <c r="BB83" i="5"/>
  <c r="AW83" i="5"/>
  <c r="AR83" i="5"/>
  <c r="BP82" i="5"/>
  <c r="BK82" i="5"/>
  <c r="BF82" i="5"/>
  <c r="AZ82" i="5"/>
  <c r="AU82" i="5"/>
  <c r="BT81" i="5"/>
  <c r="BN81" i="5"/>
  <c r="BI81" i="5"/>
  <c r="BD81" i="5"/>
  <c r="AX81" i="5"/>
  <c r="AS81" i="5"/>
  <c r="BR80" i="5"/>
  <c r="BL80" i="5"/>
  <c r="BG80" i="5"/>
  <c r="BB80" i="5"/>
  <c r="AV80" i="5"/>
  <c r="BU79" i="5"/>
  <c r="BP79" i="5"/>
  <c r="BJ79" i="5"/>
  <c r="BE79" i="5"/>
  <c r="AZ79" i="5"/>
  <c r="AT79" i="5"/>
  <c r="BS78" i="5"/>
  <c r="BN78" i="5"/>
  <c r="BH78" i="5"/>
  <c r="BC78" i="5"/>
  <c r="AX78" i="5"/>
  <c r="AR78" i="5"/>
  <c r="BQ77" i="5"/>
  <c r="BL77" i="5"/>
  <c r="BF77" i="5"/>
  <c r="BA77" i="5"/>
  <c r="AV77" i="5"/>
  <c r="BT76" i="5"/>
  <c r="BO76" i="5"/>
  <c r="BJ76" i="5"/>
  <c r="BD76" i="5"/>
  <c r="AY76" i="5"/>
  <c r="AT76" i="5"/>
  <c r="BR75" i="5"/>
  <c r="BM75" i="5"/>
  <c r="BH75" i="5"/>
  <c r="BB75" i="5"/>
  <c r="AW75" i="5"/>
  <c r="AR75" i="5"/>
  <c r="BP74" i="5"/>
  <c r="BK74" i="5"/>
  <c r="BF74" i="5"/>
  <c r="AZ74" i="5"/>
  <c r="AU74" i="5"/>
  <c r="BT73" i="5"/>
  <c r="BN73" i="5"/>
  <c r="BI73" i="5"/>
  <c r="BD73" i="5"/>
  <c r="AX73" i="5"/>
  <c r="AS73" i="5"/>
  <c r="BR72" i="5"/>
  <c r="BL72" i="5"/>
  <c r="BG72" i="5"/>
  <c r="BB72" i="5"/>
  <c r="AV72" i="5"/>
  <c r="BU71" i="5"/>
  <c r="BP71" i="5"/>
  <c r="BJ71" i="5"/>
  <c r="BE71" i="5"/>
  <c r="AZ71" i="5"/>
  <c r="AT71" i="5"/>
  <c r="BS70" i="5"/>
  <c r="BN70" i="5"/>
  <c r="BH70" i="5"/>
  <c r="BC70" i="5"/>
  <c r="AX70" i="5"/>
  <c r="AR70" i="5"/>
  <c r="BQ69" i="5"/>
  <c r="BL69" i="5"/>
  <c r="BF69" i="5"/>
  <c r="BA69" i="5"/>
  <c r="AV69" i="5"/>
  <c r="BT68" i="5"/>
  <c r="BO68" i="5"/>
  <c r="BJ68" i="5"/>
  <c r="BD68" i="5"/>
  <c r="AY68" i="5"/>
  <c r="AT68" i="5"/>
  <c r="BR67" i="5"/>
  <c r="BM67" i="5"/>
  <c r="BH67" i="5"/>
  <c r="BB67" i="5"/>
  <c r="AW67" i="5"/>
  <c r="AR67" i="5"/>
  <c r="BP66" i="5"/>
  <c r="BK66" i="5"/>
  <c r="BF66" i="5"/>
  <c r="AZ66" i="5"/>
  <c r="AU66" i="5"/>
  <c r="BT65" i="5"/>
  <c r="BN65" i="5"/>
  <c r="BI65" i="5"/>
  <c r="BD65" i="5"/>
  <c r="AX65" i="5"/>
  <c r="AT65" i="5"/>
  <c r="BT64" i="5"/>
  <c r="BP64" i="5"/>
  <c r="BL64" i="5"/>
  <c r="BH64" i="5"/>
  <c r="BD64" i="5"/>
  <c r="AZ64" i="5"/>
  <c r="AV64" i="5"/>
  <c r="AR64" i="5"/>
  <c r="BR63" i="5"/>
  <c r="BN63" i="5"/>
  <c r="BJ63" i="5"/>
  <c r="BF63" i="5"/>
  <c r="BB63" i="5"/>
  <c r="AX63" i="5"/>
  <c r="AT63" i="5"/>
  <c r="BR92" i="5"/>
  <c r="BJ92" i="5"/>
  <c r="BB92" i="5"/>
  <c r="AT92" i="5"/>
  <c r="BQ91" i="5"/>
  <c r="BL91" i="5"/>
  <c r="BF91" i="5"/>
  <c r="BA91" i="5"/>
  <c r="AV91" i="5"/>
  <c r="BT90" i="5"/>
  <c r="BO90" i="5"/>
  <c r="BJ90" i="5"/>
  <c r="BD90" i="5"/>
  <c r="AY90" i="5"/>
  <c r="AT90" i="5"/>
  <c r="BR89" i="5"/>
  <c r="BM89" i="5"/>
  <c r="BH89" i="5"/>
  <c r="BB89" i="5"/>
  <c r="AW89" i="5"/>
  <c r="AR89" i="5"/>
  <c r="BP88" i="5"/>
  <c r="BK88" i="5"/>
  <c r="BF88" i="5"/>
  <c r="AZ88" i="5"/>
  <c r="AU88" i="5"/>
  <c r="BT87" i="5"/>
  <c r="BN87" i="5"/>
  <c r="BI87" i="5"/>
  <c r="BD87" i="5"/>
  <c r="AX87" i="5"/>
  <c r="AS87" i="5"/>
  <c r="BR86" i="5"/>
  <c r="BL86" i="5"/>
  <c r="BG86" i="5"/>
  <c r="BB86" i="5"/>
  <c r="AV86" i="5"/>
  <c r="BU85" i="5"/>
  <c r="BP85" i="5"/>
  <c r="BJ85" i="5"/>
  <c r="BE85" i="5"/>
  <c r="AZ85" i="5"/>
  <c r="AT85" i="5"/>
  <c r="BS84" i="5"/>
  <c r="BN84" i="5"/>
  <c r="BH84" i="5"/>
  <c r="BC84" i="5"/>
  <c r="AX84" i="5"/>
  <c r="AR84" i="5"/>
  <c r="BQ83" i="5"/>
  <c r="BL83" i="5"/>
  <c r="BF83" i="5"/>
  <c r="BA83" i="5"/>
  <c r="AV83" i="5"/>
  <c r="BT82" i="5"/>
  <c r="BO82" i="5"/>
  <c r="BJ82" i="5"/>
  <c r="BD82" i="5"/>
  <c r="AY82" i="5"/>
  <c r="AT82" i="5"/>
  <c r="BR81" i="5"/>
  <c r="BM81" i="5"/>
  <c r="BH81" i="5"/>
  <c r="BB81" i="5"/>
  <c r="AW81" i="5"/>
  <c r="AR81" i="5"/>
  <c r="BP80" i="5"/>
  <c r="BK80" i="5"/>
  <c r="BF80" i="5"/>
  <c r="AZ80" i="5"/>
  <c r="AU80" i="5"/>
  <c r="BT79" i="5"/>
  <c r="BN79" i="5"/>
  <c r="BI79" i="5"/>
  <c r="BD79" i="5"/>
  <c r="AX79" i="5"/>
  <c r="AS79" i="5"/>
  <c r="BR78" i="5"/>
  <c r="BL78" i="5"/>
  <c r="BG78" i="5"/>
  <c r="BB78" i="5"/>
  <c r="AV78" i="5"/>
  <c r="BU77" i="5"/>
  <c r="BP77" i="5"/>
  <c r="BJ77" i="5"/>
  <c r="BE77" i="5"/>
  <c r="AZ77" i="5"/>
  <c r="AT77" i="5"/>
  <c r="BS76" i="5"/>
  <c r="BN76" i="5"/>
  <c r="BH76" i="5"/>
  <c r="BC76" i="5"/>
  <c r="AX76" i="5"/>
  <c r="AR76" i="5"/>
  <c r="BQ75" i="5"/>
  <c r="BL75" i="5"/>
  <c r="BF75" i="5"/>
  <c r="BA75" i="5"/>
  <c r="AV75" i="5"/>
  <c r="BT74" i="5"/>
  <c r="BO74" i="5"/>
  <c r="BJ74" i="5"/>
  <c r="BD74" i="5"/>
  <c r="AY74" i="5"/>
  <c r="AT74" i="5"/>
  <c r="BR73" i="5"/>
  <c r="BM73" i="5"/>
  <c r="BH73" i="5"/>
  <c r="BB73" i="5"/>
  <c r="AW73" i="5"/>
  <c r="AR73" i="5"/>
  <c r="BP72" i="5"/>
  <c r="BK72" i="5"/>
  <c r="BF72" i="5"/>
  <c r="AZ72" i="5"/>
  <c r="AU72" i="5"/>
  <c r="BT71" i="5"/>
  <c r="BN71" i="5"/>
  <c r="BI71" i="5"/>
  <c r="BD71" i="5"/>
  <c r="AX71" i="5"/>
  <c r="AS71" i="5"/>
  <c r="BR70" i="5"/>
  <c r="BL70" i="5"/>
  <c r="BG70" i="5"/>
  <c r="BB70" i="5"/>
  <c r="AV70" i="5"/>
  <c r="BU69" i="5"/>
  <c r="BP69" i="5"/>
  <c r="BJ69" i="5"/>
  <c r="BE69" i="5"/>
  <c r="AZ69" i="5"/>
  <c r="AT69" i="5"/>
  <c r="BS68" i="5"/>
  <c r="BN68" i="5"/>
  <c r="BH68" i="5"/>
  <c r="BC68" i="5"/>
  <c r="AX68" i="5"/>
  <c r="AR68" i="5"/>
  <c r="BQ67" i="5"/>
  <c r="BL67" i="5"/>
  <c r="BF67" i="5"/>
  <c r="BA67" i="5"/>
  <c r="AV67" i="5"/>
  <c r="BT66" i="5"/>
  <c r="BO66" i="5"/>
  <c r="BJ66" i="5"/>
  <c r="BD66" i="5"/>
  <c r="AY66" i="5"/>
  <c r="AT66" i="5"/>
  <c r="BR65" i="5"/>
  <c r="BM65" i="5"/>
  <c r="BH65" i="5"/>
  <c r="BB65" i="5"/>
  <c r="AW65" i="5"/>
  <c r="AS65" i="5"/>
  <c r="BS64" i="5"/>
  <c r="BO64" i="5"/>
  <c r="BK64" i="5"/>
  <c r="BG64" i="5"/>
  <c r="BC64" i="5"/>
  <c r="AY64" i="5"/>
  <c r="AU64" i="5"/>
  <c r="BU63" i="5"/>
  <c r="BQ63" i="5"/>
  <c r="BM63" i="5"/>
  <c r="BI63" i="5"/>
  <c r="BE63" i="5"/>
  <c r="BA63" i="5"/>
  <c r="AW63" i="5"/>
  <c r="AS63" i="5"/>
  <c r="BO92" i="5"/>
  <c r="BG92" i="5"/>
  <c r="AY92" i="5"/>
  <c r="BU91" i="5"/>
  <c r="BP91" i="5"/>
  <c r="BJ91" i="5"/>
  <c r="BE91" i="5"/>
  <c r="AZ91" i="5"/>
  <c r="AT91" i="5"/>
  <c r="BS90" i="5"/>
  <c r="BN90" i="5"/>
  <c r="BH90" i="5"/>
  <c r="BC90" i="5"/>
  <c r="AX90" i="5"/>
  <c r="AR90" i="5"/>
  <c r="BQ89" i="5"/>
  <c r="BL89" i="5"/>
  <c r="BF89" i="5"/>
  <c r="BA89" i="5"/>
  <c r="BT91" i="5"/>
  <c r="AX91" i="5"/>
  <c r="BG90" i="5"/>
  <c r="BP89" i="5"/>
  <c r="AV89" i="5"/>
  <c r="BO88" i="5"/>
  <c r="BD88" i="5"/>
  <c r="AT88" i="5"/>
  <c r="BM87" i="5"/>
  <c r="BB87" i="5"/>
  <c r="AR87" i="5"/>
  <c r="BK86" i="5"/>
  <c r="AZ86" i="5"/>
  <c r="BT85" i="5"/>
  <c r="BI85" i="5"/>
  <c r="AX85" i="5"/>
  <c r="BR84" i="5"/>
  <c r="BG84" i="5"/>
  <c r="AV84" i="5"/>
  <c r="BP83" i="5"/>
  <c r="BE83" i="5"/>
  <c r="AT83" i="5"/>
  <c r="BN82" i="5"/>
  <c r="BC82" i="5"/>
  <c r="AR82" i="5"/>
  <c r="BL81" i="5"/>
  <c r="BA81" i="5"/>
  <c r="BT80" i="5"/>
  <c r="BJ80" i="5"/>
  <c r="AY80" i="5"/>
  <c r="BR79" i="5"/>
  <c r="BH79" i="5"/>
  <c r="AW79" i="5"/>
  <c r="BP78" i="5"/>
  <c r="BF78" i="5"/>
  <c r="AU78" i="5"/>
  <c r="BN77" i="5"/>
  <c r="BD77" i="5"/>
  <c r="AS77" i="5"/>
  <c r="BL76" i="5"/>
  <c r="BB76" i="5"/>
  <c r="BU75" i="5"/>
  <c r="BJ75" i="5"/>
  <c r="AZ75" i="5"/>
  <c r="BS74" i="5"/>
  <c r="BH74" i="5"/>
  <c r="AX74" i="5"/>
  <c r="BQ73" i="5"/>
  <c r="BF73" i="5"/>
  <c r="AV73" i="5"/>
  <c r="BO72" i="5"/>
  <c r="BD72" i="5"/>
  <c r="AT72" i="5"/>
  <c r="BM71" i="5"/>
  <c r="BB71" i="5"/>
  <c r="AR71" i="5"/>
  <c r="BK70" i="5"/>
  <c r="AZ70" i="5"/>
  <c r="BT69" i="5"/>
  <c r="BI69" i="5"/>
  <c r="AX69" i="5"/>
  <c r="BR68" i="5"/>
  <c r="BG68" i="5"/>
  <c r="AV68" i="5"/>
  <c r="BP67" i="5"/>
  <c r="BE67" i="5"/>
  <c r="AT67" i="5"/>
  <c r="BN66" i="5"/>
  <c r="BC66" i="5"/>
  <c r="AR66" i="5"/>
  <c r="BL65" i="5"/>
  <c r="BA65" i="5"/>
  <c r="AR65" i="5"/>
  <c r="BN64" i="5"/>
  <c r="BF64" i="5"/>
  <c r="AX64" i="5"/>
  <c r="BT63" i="5"/>
  <c r="BL63" i="5"/>
  <c r="BD63" i="5"/>
  <c r="AV63" i="5"/>
  <c r="BN92" i="5"/>
  <c r="BN91" i="5"/>
  <c r="AS91" i="5"/>
  <c r="BB90" i="5"/>
  <c r="BJ89" i="5"/>
  <c r="AT89" i="5"/>
  <c r="BN88" i="5"/>
  <c r="BC88" i="5"/>
  <c r="AR88" i="5"/>
  <c r="BL87" i="5"/>
  <c r="BA87" i="5"/>
  <c r="BT86" i="5"/>
  <c r="BJ86" i="5"/>
  <c r="AY86" i="5"/>
  <c r="BR85" i="5"/>
  <c r="BH85" i="5"/>
  <c r="AW85" i="5"/>
  <c r="BP84" i="5"/>
  <c r="BF84" i="5"/>
  <c r="AU84" i="5"/>
  <c r="BN83" i="5"/>
  <c r="BD83" i="5"/>
  <c r="AS83" i="5"/>
  <c r="BL82" i="5"/>
  <c r="BB82" i="5"/>
  <c r="BU81" i="5"/>
  <c r="BJ81" i="5"/>
  <c r="AZ81" i="5"/>
  <c r="BS80" i="5"/>
  <c r="BH80" i="5"/>
  <c r="AX80" i="5"/>
  <c r="BQ79" i="5"/>
  <c r="BF79" i="5"/>
  <c r="AV79" i="5"/>
  <c r="BO78" i="5"/>
  <c r="BD78" i="5"/>
  <c r="AT78" i="5"/>
  <c r="BM77" i="5"/>
  <c r="BB77" i="5"/>
  <c r="AR77" i="5"/>
  <c r="BK76" i="5"/>
  <c r="AZ76" i="5"/>
  <c r="BT75" i="5"/>
  <c r="BI75" i="5"/>
  <c r="AX75" i="5"/>
  <c r="BR74" i="5"/>
  <c r="BG74" i="5"/>
  <c r="AV74" i="5"/>
  <c r="BP73" i="5"/>
  <c r="BE73" i="5"/>
  <c r="AT73" i="5"/>
  <c r="BN72" i="5"/>
  <c r="BC72" i="5"/>
  <c r="AR72" i="5"/>
  <c r="BL71" i="5"/>
  <c r="BA71" i="5"/>
  <c r="BT70" i="5"/>
  <c r="BJ70" i="5"/>
  <c r="AY70" i="5"/>
  <c r="BR69" i="5"/>
  <c r="BH69" i="5"/>
  <c r="AW69" i="5"/>
  <c r="BP68" i="5"/>
  <c r="BF68" i="5"/>
  <c r="AU68" i="5"/>
  <c r="BN67" i="5"/>
  <c r="BD67" i="5"/>
  <c r="AS67" i="5"/>
  <c r="BL66" i="5"/>
  <c r="BB66" i="5"/>
  <c r="BU65" i="5"/>
  <c r="BJ65" i="5"/>
  <c r="AZ65" i="5"/>
  <c r="BU64" i="5"/>
  <c r="BM64" i="5"/>
  <c r="BE64" i="5"/>
  <c r="AW64" i="5"/>
  <c r="BS63" i="5"/>
  <c r="BK63" i="5"/>
  <c r="BC63" i="5"/>
  <c r="AU63" i="5"/>
  <c r="BF92" i="5"/>
  <c r="BI91" i="5"/>
  <c r="BR90" i="5"/>
  <c r="AV90" i="5"/>
  <c r="BE89" i="5"/>
  <c r="BT88" i="5"/>
  <c r="BJ88" i="5"/>
  <c r="AY88" i="5"/>
  <c r="BR87" i="5"/>
  <c r="BH87" i="5"/>
  <c r="AW87" i="5"/>
  <c r="BP86" i="5"/>
  <c r="BF86" i="5"/>
  <c r="AU86" i="5"/>
  <c r="BN85" i="5"/>
  <c r="BD85" i="5"/>
  <c r="AS85" i="5"/>
  <c r="BL84" i="5"/>
  <c r="BB84" i="5"/>
  <c r="BU83" i="5"/>
  <c r="BJ83" i="5"/>
  <c r="AZ83" i="5"/>
  <c r="BS82" i="5"/>
  <c r="BH82" i="5"/>
  <c r="AX82" i="5"/>
  <c r="BQ81" i="5"/>
  <c r="BF81" i="5"/>
  <c r="AV81" i="5"/>
  <c r="BO80" i="5"/>
  <c r="BD80" i="5"/>
  <c r="AT80" i="5"/>
  <c r="BM79" i="5"/>
  <c r="BB79" i="5"/>
  <c r="AR79" i="5"/>
  <c r="BK78" i="5"/>
  <c r="AZ78" i="5"/>
  <c r="BT77" i="5"/>
  <c r="BI77" i="5"/>
  <c r="AX77" i="5"/>
  <c r="BR76" i="5"/>
  <c r="BG76" i="5"/>
  <c r="AV76" i="5"/>
  <c r="BP75" i="5"/>
  <c r="BE75" i="5"/>
  <c r="AT75" i="5"/>
  <c r="BN74" i="5"/>
  <c r="BC74" i="5"/>
  <c r="AR74" i="5"/>
  <c r="BL73" i="5"/>
  <c r="BA73" i="5"/>
  <c r="BT72" i="5"/>
  <c r="BJ72" i="5"/>
  <c r="AY72" i="5"/>
  <c r="BR71" i="5"/>
  <c r="BH71" i="5"/>
  <c r="AW71" i="5"/>
  <c r="BP70" i="5"/>
  <c r="BF70" i="5"/>
  <c r="AU70" i="5"/>
  <c r="BN69" i="5"/>
  <c r="BD69" i="5"/>
  <c r="AS69" i="5"/>
  <c r="BL68" i="5"/>
  <c r="BB68" i="5"/>
  <c r="BU67" i="5"/>
  <c r="BJ67" i="5"/>
  <c r="AZ67" i="5"/>
  <c r="BS66" i="5"/>
  <c r="BH66" i="5"/>
  <c r="AX66" i="5"/>
  <c r="BQ65" i="5"/>
  <c r="BF65" i="5"/>
  <c r="AV65" i="5"/>
  <c r="BR64" i="5"/>
  <c r="BJ64" i="5"/>
  <c r="BB64" i="5"/>
  <c r="AT64" i="5"/>
  <c r="BP63" i="5"/>
  <c r="BH63" i="5"/>
  <c r="AZ63" i="5"/>
  <c r="AX92" i="5"/>
  <c r="BD91" i="5"/>
  <c r="BL90" i="5"/>
  <c r="BU89" i="5"/>
  <c r="AZ89" i="5"/>
  <c r="BS88" i="5"/>
  <c r="BH88" i="5"/>
  <c r="AX88" i="5"/>
  <c r="BQ87" i="5"/>
  <c r="BF87" i="5"/>
  <c r="AV87" i="5"/>
  <c r="BO86" i="5"/>
  <c r="BD86" i="5"/>
  <c r="AT86" i="5"/>
  <c r="BM85" i="5"/>
  <c r="BB85" i="5"/>
  <c r="AR85" i="5"/>
  <c r="BK84" i="5"/>
  <c r="AZ84" i="5"/>
  <c r="BT83" i="5"/>
  <c r="BI83" i="5"/>
  <c r="AX83" i="5"/>
  <c r="BR82" i="5"/>
  <c r="BG82" i="5"/>
  <c r="AV82" i="5"/>
  <c r="BP81" i="5"/>
  <c r="BE81" i="5"/>
  <c r="AT81" i="5"/>
  <c r="BN80" i="5"/>
  <c r="BC80" i="5"/>
  <c r="AR80" i="5"/>
  <c r="BL79" i="5"/>
  <c r="BA79" i="5"/>
  <c r="BT78" i="5"/>
  <c r="BJ78" i="5"/>
  <c r="AY78" i="5"/>
  <c r="BR77" i="5"/>
  <c r="BH77" i="5"/>
  <c r="AW77" i="5"/>
  <c r="BP76" i="5"/>
  <c r="BF76" i="5"/>
  <c r="AU76" i="5"/>
  <c r="BN75" i="5"/>
  <c r="BD75" i="5"/>
  <c r="AS75" i="5"/>
  <c r="BL74" i="5"/>
  <c r="BB74" i="5"/>
  <c r="BU73" i="5"/>
  <c r="BJ73" i="5"/>
  <c r="AZ73" i="5"/>
  <c r="BS72" i="5"/>
  <c r="BH72" i="5"/>
  <c r="AX72" i="5"/>
  <c r="BQ71" i="5"/>
  <c r="BF71" i="5"/>
  <c r="AV71" i="5"/>
  <c r="BO70" i="5"/>
  <c r="BD70" i="5"/>
  <c r="AT70" i="5"/>
  <c r="BM69" i="5"/>
  <c r="BB69" i="5"/>
  <c r="AR69" i="5"/>
  <c r="BK68" i="5"/>
  <c r="AZ68" i="5"/>
  <c r="BT67" i="5"/>
  <c r="BI67" i="5"/>
  <c r="AX67" i="5"/>
  <c r="BR66" i="5"/>
  <c r="BG66" i="5"/>
  <c r="AV66" i="5"/>
  <c r="BP65" i="5"/>
  <c r="BE65" i="5"/>
  <c r="AU65" i="5"/>
  <c r="BQ64" i="5"/>
  <c r="BI64" i="5"/>
  <c r="BA64" i="5"/>
  <c r="AS64" i="5"/>
  <c r="BO63" i="5"/>
  <c r="BG63" i="5"/>
  <c r="AY63" i="5"/>
  <c r="C96" i="5"/>
  <c r="AH125" i="5"/>
  <c r="AD125" i="5"/>
  <c r="Z125" i="5"/>
  <c r="V125" i="5"/>
  <c r="AG125" i="5"/>
  <c r="AC125" i="5"/>
  <c r="Y125" i="5"/>
  <c r="U125" i="5"/>
  <c r="Q125" i="5"/>
  <c r="M125" i="5"/>
  <c r="I125" i="5"/>
  <c r="AI124" i="5"/>
  <c r="AE124" i="5"/>
  <c r="AA124" i="5"/>
  <c r="W124" i="5"/>
  <c r="S124" i="5"/>
  <c r="O124" i="5"/>
  <c r="K124" i="5"/>
  <c r="G124" i="5"/>
  <c r="AG123" i="5"/>
  <c r="AC123" i="5"/>
  <c r="Y123" i="5"/>
  <c r="U123" i="5"/>
  <c r="Q123" i="5"/>
  <c r="M123" i="5"/>
  <c r="I123" i="5"/>
  <c r="AI122" i="5"/>
  <c r="AE122" i="5"/>
  <c r="AA122" i="5"/>
  <c r="W122" i="5"/>
  <c r="S122" i="5"/>
  <c r="O122" i="5"/>
  <c r="K122" i="5"/>
  <c r="G122" i="5"/>
  <c r="AG121" i="5"/>
  <c r="AC121" i="5"/>
  <c r="Y121" i="5"/>
  <c r="U121" i="5"/>
  <c r="Q121" i="5"/>
  <c r="M121" i="5"/>
  <c r="I121" i="5"/>
  <c r="AI120" i="5"/>
  <c r="AE120" i="5"/>
  <c r="AA120" i="5"/>
  <c r="W120" i="5"/>
  <c r="S120" i="5"/>
  <c r="O120" i="5"/>
  <c r="K120" i="5"/>
  <c r="G120" i="5"/>
  <c r="AG119" i="5"/>
  <c r="AI125" i="5"/>
  <c r="AE125" i="5"/>
  <c r="AA125" i="5"/>
  <c r="W125" i="5"/>
  <c r="S125" i="5"/>
  <c r="O125" i="5"/>
  <c r="K125" i="5"/>
  <c r="G125" i="5"/>
  <c r="AG124" i="5"/>
  <c r="AC124" i="5"/>
  <c r="Y124" i="5"/>
  <c r="U124" i="5"/>
  <c r="Q124" i="5"/>
  <c r="M124" i="5"/>
  <c r="I124" i="5"/>
  <c r="AI123" i="5"/>
  <c r="AE123" i="5"/>
  <c r="AA123" i="5"/>
  <c r="W123" i="5"/>
  <c r="S123" i="5"/>
  <c r="O123" i="5"/>
  <c r="K123" i="5"/>
  <c r="G123" i="5"/>
  <c r="AG122" i="5"/>
  <c r="AC122" i="5"/>
  <c r="Y122" i="5"/>
  <c r="U122" i="5"/>
  <c r="Q122" i="5"/>
  <c r="M122" i="5"/>
  <c r="I122" i="5"/>
  <c r="AI121" i="5"/>
  <c r="AE121" i="5"/>
  <c r="AA121" i="5"/>
  <c r="W121" i="5"/>
  <c r="S121" i="5"/>
  <c r="O121" i="5"/>
  <c r="K121" i="5"/>
  <c r="G121" i="5"/>
  <c r="AG120" i="5"/>
  <c r="AC120" i="5"/>
  <c r="Y120" i="5"/>
  <c r="U120" i="5"/>
  <c r="Q120" i="5"/>
  <c r="M120" i="5"/>
  <c r="I120" i="5"/>
  <c r="AI119" i="5"/>
  <c r="AE119" i="5"/>
  <c r="AJ125" i="5"/>
  <c r="T125" i="5"/>
  <c r="L125" i="5"/>
  <c r="AH124" i="5"/>
  <c r="Z124" i="5"/>
  <c r="R124" i="5"/>
  <c r="J124" i="5"/>
  <c r="AF123" i="5"/>
  <c r="X123" i="5"/>
  <c r="P123" i="5"/>
  <c r="H123" i="5"/>
  <c r="AD122" i="5"/>
  <c r="V122" i="5"/>
  <c r="N122" i="5"/>
  <c r="AJ121" i="5"/>
  <c r="AB121" i="5"/>
  <c r="T121" i="5"/>
  <c r="L121" i="5"/>
  <c r="AH120" i="5"/>
  <c r="Z120" i="5"/>
  <c r="R120" i="5"/>
  <c r="J120" i="5"/>
  <c r="AF119" i="5"/>
  <c r="AA119" i="5"/>
  <c r="W119" i="5"/>
  <c r="S119" i="5"/>
  <c r="O119" i="5"/>
  <c r="K119" i="5"/>
  <c r="G119" i="5"/>
  <c r="AG118" i="5"/>
  <c r="AC118" i="5"/>
  <c r="Y118" i="5"/>
  <c r="U118" i="5"/>
  <c r="Q118" i="5"/>
  <c r="M118" i="5"/>
  <c r="I118" i="5"/>
  <c r="AI117" i="5"/>
  <c r="AE117" i="5"/>
  <c r="AA117" i="5"/>
  <c r="W117" i="5"/>
  <c r="S117" i="5"/>
  <c r="O117" i="5"/>
  <c r="K117" i="5"/>
  <c r="G117" i="5"/>
  <c r="AG116" i="5"/>
  <c r="AC116" i="5"/>
  <c r="Y116" i="5"/>
  <c r="U116" i="5"/>
  <c r="Q116" i="5"/>
  <c r="M116" i="5"/>
  <c r="I116" i="5"/>
  <c r="AI115" i="5"/>
  <c r="AE115" i="5"/>
  <c r="AA115" i="5"/>
  <c r="W115" i="5"/>
  <c r="S115" i="5"/>
  <c r="O115" i="5"/>
  <c r="K115" i="5"/>
  <c r="G115" i="5"/>
  <c r="AG114" i="5"/>
  <c r="AC114" i="5"/>
  <c r="Y114" i="5"/>
  <c r="U114" i="5"/>
  <c r="Q114" i="5"/>
  <c r="M114" i="5"/>
  <c r="I114" i="5"/>
  <c r="AI113" i="5"/>
  <c r="AE113" i="5"/>
  <c r="AA113" i="5"/>
  <c r="W113" i="5"/>
  <c r="S113" i="5"/>
  <c r="O113" i="5"/>
  <c r="K113" i="5"/>
  <c r="G113" i="5"/>
  <c r="AG112" i="5"/>
  <c r="AC112" i="5"/>
  <c r="Y112" i="5"/>
  <c r="U112" i="5"/>
  <c r="Q112" i="5"/>
  <c r="M112" i="5"/>
  <c r="I112" i="5"/>
  <c r="AI111" i="5"/>
  <c r="AE111" i="5"/>
  <c r="AA111" i="5"/>
  <c r="W111" i="5"/>
  <c r="S111" i="5"/>
  <c r="O111" i="5"/>
  <c r="K111" i="5"/>
  <c r="G111" i="5"/>
  <c r="AG110" i="5"/>
  <c r="AC110" i="5"/>
  <c r="Y110" i="5"/>
  <c r="U110" i="5"/>
  <c r="Q110" i="5"/>
  <c r="M110" i="5"/>
  <c r="I110" i="5"/>
  <c r="AI109" i="5"/>
  <c r="AE109" i="5"/>
  <c r="AA109" i="5"/>
  <c r="W109" i="5"/>
  <c r="S109" i="5"/>
  <c r="O109" i="5"/>
  <c r="AF125" i="5"/>
  <c r="R125" i="5"/>
  <c r="J125" i="5"/>
  <c r="AF124" i="5"/>
  <c r="X124" i="5"/>
  <c r="P124" i="5"/>
  <c r="H124" i="5"/>
  <c r="AD123" i="5"/>
  <c r="V123" i="5"/>
  <c r="N123" i="5"/>
  <c r="AJ122" i="5"/>
  <c r="AB122" i="5"/>
  <c r="T122" i="5"/>
  <c r="L122" i="5"/>
  <c r="AH121" i="5"/>
  <c r="Z121" i="5"/>
  <c r="R121" i="5"/>
  <c r="J121" i="5"/>
  <c r="AF120" i="5"/>
  <c r="X120" i="5"/>
  <c r="P120" i="5"/>
  <c r="H120" i="5"/>
  <c r="AD119" i="5"/>
  <c r="Z119" i="5"/>
  <c r="V119" i="5"/>
  <c r="R119" i="5"/>
  <c r="N119" i="5"/>
  <c r="J119" i="5"/>
  <c r="AJ118" i="5"/>
  <c r="AF118" i="5"/>
  <c r="AB118" i="5"/>
  <c r="X118" i="5"/>
  <c r="T118" i="5"/>
  <c r="P118" i="5"/>
  <c r="L118" i="5"/>
  <c r="H118" i="5"/>
  <c r="AH117" i="5"/>
  <c r="AD117" i="5"/>
  <c r="Z117" i="5"/>
  <c r="V117" i="5"/>
  <c r="R117" i="5"/>
  <c r="N117" i="5"/>
  <c r="J117" i="5"/>
  <c r="AJ116" i="5"/>
  <c r="AF116" i="5"/>
  <c r="AB116" i="5"/>
  <c r="X116" i="5"/>
  <c r="T116" i="5"/>
  <c r="P116" i="5"/>
  <c r="L116" i="5"/>
  <c r="H116" i="5"/>
  <c r="AH115" i="5"/>
  <c r="AD115" i="5"/>
  <c r="Z115" i="5"/>
  <c r="V115" i="5"/>
  <c r="R115" i="5"/>
  <c r="N115" i="5"/>
  <c r="J115" i="5"/>
  <c r="AJ114" i="5"/>
  <c r="AF114" i="5"/>
  <c r="AB114" i="5"/>
  <c r="X114" i="5"/>
  <c r="T114" i="5"/>
  <c r="P114" i="5"/>
  <c r="L114" i="5"/>
  <c r="H114" i="5"/>
  <c r="AH113" i="5"/>
  <c r="AD113" i="5"/>
  <c r="Z113" i="5"/>
  <c r="V113" i="5"/>
  <c r="R113" i="5"/>
  <c r="N113" i="5"/>
  <c r="J113" i="5"/>
  <c r="AJ112" i="5"/>
  <c r="AF112" i="5"/>
  <c r="AB112" i="5"/>
  <c r="X112" i="5"/>
  <c r="T112" i="5"/>
  <c r="P112" i="5"/>
  <c r="L112" i="5"/>
  <c r="H112" i="5"/>
  <c r="AH111" i="5"/>
  <c r="AD111" i="5"/>
  <c r="Z111" i="5"/>
  <c r="V111" i="5"/>
  <c r="R111" i="5"/>
  <c r="N111" i="5"/>
  <c r="J111" i="5"/>
  <c r="AJ110" i="5"/>
  <c r="AF110" i="5"/>
  <c r="AB110" i="5"/>
  <c r="X110" i="5"/>
  <c r="T110" i="5"/>
  <c r="P110" i="5"/>
  <c r="L110" i="5"/>
  <c r="H110" i="5"/>
  <c r="AH109" i="5"/>
  <c r="AD109" i="5"/>
  <c r="Z109" i="5"/>
  <c r="V109" i="5"/>
  <c r="R109" i="5"/>
  <c r="N109" i="5"/>
  <c r="J109" i="5"/>
  <c r="AJ108" i="5"/>
  <c r="AF108" i="5"/>
  <c r="AB108" i="5"/>
  <c r="X108" i="5"/>
  <c r="T108" i="5"/>
  <c r="P108" i="5"/>
  <c r="L108" i="5"/>
  <c r="H108" i="5"/>
  <c r="AH107" i="5"/>
  <c r="AD107" i="5"/>
  <c r="Z107" i="5"/>
  <c r="V107" i="5"/>
  <c r="R107" i="5"/>
  <c r="N107" i="5"/>
  <c r="J107" i="5"/>
  <c r="AJ106" i="5"/>
  <c r="AF106" i="5"/>
  <c r="AB106" i="5"/>
  <c r="X106" i="5"/>
  <c r="T106" i="5"/>
  <c r="P106" i="5"/>
  <c r="L106" i="5"/>
  <c r="H106" i="5"/>
  <c r="AH105" i="5"/>
  <c r="AD105" i="5"/>
  <c r="Z105" i="5"/>
  <c r="V105" i="5"/>
  <c r="R105" i="5"/>
  <c r="N105" i="5"/>
  <c r="J105" i="5"/>
  <c r="AJ104" i="5"/>
  <c r="AF104" i="5"/>
  <c r="AB104" i="5"/>
  <c r="X104" i="5"/>
  <c r="T104" i="5"/>
  <c r="P104" i="5"/>
  <c r="L104" i="5"/>
  <c r="H104" i="5"/>
  <c r="AH103" i="5"/>
  <c r="AD103" i="5"/>
  <c r="Z103" i="5"/>
  <c r="V103" i="5"/>
  <c r="R103" i="5"/>
  <c r="N103" i="5"/>
  <c r="AB125" i="5"/>
  <c r="P125" i="5"/>
  <c r="H125" i="5"/>
  <c r="AD124" i="5"/>
  <c r="V124" i="5"/>
  <c r="N124" i="5"/>
  <c r="AJ123" i="5"/>
  <c r="AB123" i="5"/>
  <c r="X125" i="5"/>
  <c r="N125" i="5"/>
  <c r="AJ124" i="5"/>
  <c r="AB124" i="5"/>
  <c r="T124" i="5"/>
  <c r="L124" i="5"/>
  <c r="AH123" i="5"/>
  <c r="Z123" i="5"/>
  <c r="R123" i="5"/>
  <c r="J123" i="5"/>
  <c r="AF122" i="5"/>
  <c r="X122" i="5"/>
  <c r="P122" i="5"/>
  <c r="H122" i="5"/>
  <c r="AD121" i="5"/>
  <c r="V121" i="5"/>
  <c r="N121" i="5"/>
  <c r="AJ120" i="5"/>
  <c r="AB120" i="5"/>
  <c r="T120" i="5"/>
  <c r="L120" i="5"/>
  <c r="AH119" i="5"/>
  <c r="AB119" i="5"/>
  <c r="X119" i="5"/>
  <c r="T119" i="5"/>
  <c r="P119" i="5"/>
  <c r="L119" i="5"/>
  <c r="H119" i="5"/>
  <c r="AH118" i="5"/>
  <c r="AD118" i="5"/>
  <c r="Z118" i="5"/>
  <c r="V118" i="5"/>
  <c r="R118" i="5"/>
  <c r="N118" i="5"/>
  <c r="J118" i="5"/>
  <c r="AJ117" i="5"/>
  <c r="AF117" i="5"/>
  <c r="AB117" i="5"/>
  <c r="X117" i="5"/>
  <c r="T117" i="5"/>
  <c r="P117" i="5"/>
  <c r="L117" i="5"/>
  <c r="H117" i="5"/>
  <c r="AH116" i="5"/>
  <c r="AD116" i="5"/>
  <c r="Z116" i="5"/>
  <c r="V116" i="5"/>
  <c r="R116" i="5"/>
  <c r="N116" i="5"/>
  <c r="J116" i="5"/>
  <c r="AJ115" i="5"/>
  <c r="AF115" i="5"/>
  <c r="AB115" i="5"/>
  <c r="X115" i="5"/>
  <c r="T115" i="5"/>
  <c r="P115" i="5"/>
  <c r="L115" i="5"/>
  <c r="H115" i="5"/>
  <c r="AH114" i="5"/>
  <c r="AD114" i="5"/>
  <c r="Z114" i="5"/>
  <c r="V114" i="5"/>
  <c r="R114" i="5"/>
  <c r="N114" i="5"/>
  <c r="J114" i="5"/>
  <c r="AJ113" i="5"/>
  <c r="AF113" i="5"/>
  <c r="AB113" i="5"/>
  <c r="X113" i="5"/>
  <c r="T113" i="5"/>
  <c r="P113" i="5"/>
  <c r="L113" i="5"/>
  <c r="H113" i="5"/>
  <c r="AH112" i="5"/>
  <c r="AD112" i="5"/>
  <c r="Z112" i="5"/>
  <c r="V112" i="5"/>
  <c r="R112" i="5"/>
  <c r="N112" i="5"/>
  <c r="J112" i="5"/>
  <c r="AJ111" i="5"/>
  <c r="AF111" i="5"/>
  <c r="AB111" i="5"/>
  <c r="X111" i="5"/>
  <c r="T111" i="5"/>
  <c r="P111" i="5"/>
  <c r="L111" i="5"/>
  <c r="H111" i="5"/>
  <c r="AH110" i="5"/>
  <c r="AD110" i="5"/>
  <c r="Z110" i="5"/>
  <c r="V110" i="5"/>
  <c r="R110" i="5"/>
  <c r="N110" i="5"/>
  <c r="J110" i="5"/>
  <c r="AJ109" i="5"/>
  <c r="AF109" i="5"/>
  <c r="AB109" i="5"/>
  <c r="X109" i="5"/>
  <c r="T109" i="5"/>
  <c r="P109" i="5"/>
  <c r="L109" i="5"/>
  <c r="H109" i="5"/>
  <c r="AH108" i="5"/>
  <c r="AD108" i="5"/>
  <c r="Z108" i="5"/>
  <c r="V108" i="5"/>
  <c r="R108" i="5"/>
  <c r="N108" i="5"/>
  <c r="J108" i="5"/>
  <c r="AJ107" i="5"/>
  <c r="AF107" i="5"/>
  <c r="AB107" i="5"/>
  <c r="X107" i="5"/>
  <c r="T107" i="5"/>
  <c r="P107" i="5"/>
  <c r="L107" i="5"/>
  <c r="H107" i="5"/>
  <c r="AH106" i="5"/>
  <c r="AD106" i="5"/>
  <c r="Z106" i="5"/>
  <c r="V106" i="5"/>
  <c r="R106" i="5"/>
  <c r="N106" i="5"/>
  <c r="J106" i="5"/>
  <c r="AJ105" i="5"/>
  <c r="AF105" i="5"/>
  <c r="AB105" i="5"/>
  <c r="X105" i="5"/>
  <c r="T105" i="5"/>
  <c r="P105" i="5"/>
  <c r="L105" i="5"/>
  <c r="H105" i="5"/>
  <c r="AH104" i="5"/>
  <c r="AD104" i="5"/>
  <c r="Z104" i="5"/>
  <c r="V104" i="5"/>
  <c r="R104" i="5"/>
  <c r="N104" i="5"/>
  <c r="J104" i="5"/>
  <c r="AJ103" i="5"/>
  <c r="AF103" i="5"/>
  <c r="AB103" i="5"/>
  <c r="X103" i="5"/>
  <c r="T103" i="5"/>
  <c r="P103" i="5"/>
  <c r="T123" i="5"/>
  <c r="R122" i="5"/>
  <c r="P121" i="5"/>
  <c r="N120" i="5"/>
  <c r="U119" i="5"/>
  <c r="AI118" i="5"/>
  <c r="S118" i="5"/>
  <c r="AG117" i="5"/>
  <c r="Q117" i="5"/>
  <c r="AE116" i="5"/>
  <c r="O116" i="5"/>
  <c r="AC115" i="5"/>
  <c r="M115" i="5"/>
  <c r="AA114" i="5"/>
  <c r="K114" i="5"/>
  <c r="Y113" i="5"/>
  <c r="I113" i="5"/>
  <c r="W112" i="5"/>
  <c r="G112" i="5"/>
  <c r="U111" i="5"/>
  <c r="AI110" i="5"/>
  <c r="S110" i="5"/>
  <c r="AG109" i="5"/>
  <c r="Q109" i="5"/>
  <c r="G109" i="5"/>
  <c r="AC108" i="5"/>
  <c r="U108" i="5"/>
  <c r="M108" i="5"/>
  <c r="AI107" i="5"/>
  <c r="AA107" i="5"/>
  <c r="S107" i="5"/>
  <c r="K107" i="5"/>
  <c r="AG106" i="5"/>
  <c r="Y106" i="5"/>
  <c r="Q106" i="5"/>
  <c r="I106" i="5"/>
  <c r="AE105" i="5"/>
  <c r="W105" i="5"/>
  <c r="O105" i="5"/>
  <c r="G105" i="5"/>
  <c r="AC104" i="5"/>
  <c r="U104" i="5"/>
  <c r="M104" i="5"/>
  <c r="AI103" i="5"/>
  <c r="AA103" i="5"/>
  <c r="S103" i="5"/>
  <c r="L103" i="5"/>
  <c r="H103" i="5"/>
  <c r="AH102" i="5"/>
  <c r="AD102" i="5"/>
  <c r="Z102" i="5"/>
  <c r="V102" i="5"/>
  <c r="R102" i="5"/>
  <c r="N102" i="5"/>
  <c r="J102" i="5"/>
  <c r="AJ101" i="5"/>
  <c r="AF101" i="5"/>
  <c r="AB101" i="5"/>
  <c r="X101" i="5"/>
  <c r="T101" i="5"/>
  <c r="P101" i="5"/>
  <c r="L101" i="5"/>
  <c r="H101" i="5"/>
  <c r="AH100" i="5"/>
  <c r="AD100" i="5"/>
  <c r="Z100" i="5"/>
  <c r="V100" i="5"/>
  <c r="R100" i="5"/>
  <c r="N100" i="5"/>
  <c r="J100" i="5"/>
  <c r="AJ99" i="5"/>
  <c r="AF99" i="5"/>
  <c r="AB99" i="5"/>
  <c r="X99" i="5"/>
  <c r="T99" i="5"/>
  <c r="P99" i="5"/>
  <c r="L99" i="5"/>
  <c r="H99" i="5"/>
  <c r="AH98" i="5"/>
  <c r="AD98" i="5"/>
  <c r="Z98" i="5"/>
  <c r="V98" i="5"/>
  <c r="R98" i="5"/>
  <c r="N98" i="5"/>
  <c r="J98" i="5"/>
  <c r="AJ97" i="5"/>
  <c r="AF97" i="5"/>
  <c r="AB97" i="5"/>
  <c r="X97" i="5"/>
  <c r="T97" i="5"/>
  <c r="P97" i="5"/>
  <c r="L97" i="5"/>
  <c r="H97" i="5"/>
  <c r="AH96" i="5"/>
  <c r="AD96" i="5"/>
  <c r="Z96" i="5"/>
  <c r="V96" i="5"/>
  <c r="R96" i="5"/>
  <c r="N96" i="5"/>
  <c r="J96" i="5"/>
  <c r="L123" i="5"/>
  <c r="J122" i="5"/>
  <c r="H121" i="5"/>
  <c r="AJ119" i="5"/>
  <c r="Q119" i="5"/>
  <c r="AE118" i="5"/>
  <c r="O118" i="5"/>
  <c r="AC117" i="5"/>
  <c r="M117" i="5"/>
  <c r="AA116" i="5"/>
  <c r="K116" i="5"/>
  <c r="Y115" i="5"/>
  <c r="I115" i="5"/>
  <c r="W114" i="5"/>
  <c r="G114" i="5"/>
  <c r="U113" i="5"/>
  <c r="AI112" i="5"/>
  <c r="S112" i="5"/>
  <c r="AG111" i="5"/>
  <c r="Q111" i="5"/>
  <c r="AE110" i="5"/>
  <c r="O110" i="5"/>
  <c r="AC109" i="5"/>
  <c r="M109" i="5"/>
  <c r="AI108" i="5"/>
  <c r="AA108" i="5"/>
  <c r="S108" i="5"/>
  <c r="K108" i="5"/>
  <c r="AG107" i="5"/>
  <c r="Y107" i="5"/>
  <c r="Q107" i="5"/>
  <c r="I107" i="5"/>
  <c r="AE106" i="5"/>
  <c r="W106" i="5"/>
  <c r="O106" i="5"/>
  <c r="G106" i="5"/>
  <c r="AC105" i="5"/>
  <c r="U105" i="5"/>
  <c r="M105" i="5"/>
  <c r="AI104" i="5"/>
  <c r="AA104" i="5"/>
  <c r="S104" i="5"/>
  <c r="K104" i="5"/>
  <c r="AG103" i="5"/>
  <c r="Y103" i="5"/>
  <c r="Q103" i="5"/>
  <c r="K103" i="5"/>
  <c r="G103" i="5"/>
  <c r="AG102" i="5"/>
  <c r="AC102" i="5"/>
  <c r="Y102" i="5"/>
  <c r="U102" i="5"/>
  <c r="Q102" i="5"/>
  <c r="M102" i="5"/>
  <c r="I102" i="5"/>
  <c r="AI101" i="5"/>
  <c r="AE101" i="5"/>
  <c r="AA101" i="5"/>
  <c r="W101" i="5"/>
  <c r="S101" i="5"/>
  <c r="O101" i="5"/>
  <c r="K101" i="5"/>
  <c r="G101" i="5"/>
  <c r="AG100" i="5"/>
  <c r="AC100" i="5"/>
  <c r="Y100" i="5"/>
  <c r="U100" i="5"/>
  <c r="Q100" i="5"/>
  <c r="M100" i="5"/>
  <c r="I100" i="5"/>
  <c r="AI99" i="5"/>
  <c r="AE99" i="5"/>
  <c r="AA99" i="5"/>
  <c r="W99" i="5"/>
  <c r="S99" i="5"/>
  <c r="O99" i="5"/>
  <c r="K99" i="5"/>
  <c r="G99" i="5"/>
  <c r="AG98" i="5"/>
  <c r="AC98" i="5"/>
  <c r="Y98" i="5"/>
  <c r="U98" i="5"/>
  <c r="Q98" i="5"/>
  <c r="M98" i="5"/>
  <c r="I98" i="5"/>
  <c r="AI97" i="5"/>
  <c r="AE97" i="5"/>
  <c r="AA97" i="5"/>
  <c r="W97" i="5"/>
  <c r="S97" i="5"/>
  <c r="O97" i="5"/>
  <c r="K97" i="5"/>
  <c r="G97" i="5"/>
  <c r="AG96" i="5"/>
  <c r="AC96" i="5"/>
  <c r="Y96" i="5"/>
  <c r="U96" i="5"/>
  <c r="Q96" i="5"/>
  <c r="M96" i="5"/>
  <c r="I96" i="5"/>
  <c r="AH122" i="5"/>
  <c r="AF121" i="5"/>
  <c r="AD120" i="5"/>
  <c r="AC119" i="5"/>
  <c r="M119" i="5"/>
  <c r="AA118" i="5"/>
  <c r="K118" i="5"/>
  <c r="Y117" i="5"/>
  <c r="I117" i="5"/>
  <c r="W116" i="5"/>
  <c r="G116" i="5"/>
  <c r="U115" i="5"/>
  <c r="AI114" i="5"/>
  <c r="S114" i="5"/>
  <c r="AG113" i="5"/>
  <c r="Q113" i="5"/>
  <c r="AE112" i="5"/>
  <c r="O112" i="5"/>
  <c r="AC111" i="5"/>
  <c r="M111" i="5"/>
  <c r="AA110" i="5"/>
  <c r="K110" i="5"/>
  <c r="Y109" i="5"/>
  <c r="K109" i="5"/>
  <c r="Z122" i="5"/>
  <c r="X121" i="5"/>
  <c r="V120" i="5"/>
  <c r="Y119" i="5"/>
  <c r="I119" i="5"/>
  <c r="W118" i="5"/>
  <c r="G118" i="5"/>
  <c r="U117" i="5"/>
  <c r="AI116" i="5"/>
  <c r="S116" i="5"/>
  <c r="AG115" i="5"/>
  <c r="Q115" i="5"/>
  <c r="AE114" i="5"/>
  <c r="O114" i="5"/>
  <c r="AC113" i="5"/>
  <c r="M113" i="5"/>
  <c r="AA112" i="5"/>
  <c r="K112" i="5"/>
  <c r="Y111" i="5"/>
  <c r="I111" i="5"/>
  <c r="W110" i="5"/>
  <c r="G110" i="5"/>
  <c r="U109" i="5"/>
  <c r="I109" i="5"/>
  <c r="AE108" i="5"/>
  <c r="W108" i="5"/>
  <c r="O108" i="5"/>
  <c r="G108" i="5"/>
  <c r="AC107" i="5"/>
  <c r="U107" i="5"/>
  <c r="M107" i="5"/>
  <c r="AI106" i="5"/>
  <c r="AA106" i="5"/>
  <c r="S106" i="5"/>
  <c r="K106" i="5"/>
  <c r="AG105" i="5"/>
  <c r="Y105" i="5"/>
  <c r="Q105" i="5"/>
  <c r="I105" i="5"/>
  <c r="AE104" i="5"/>
  <c r="W104" i="5"/>
  <c r="O104" i="5"/>
  <c r="G104" i="5"/>
  <c r="AC103" i="5"/>
  <c r="U103" i="5"/>
  <c r="M103" i="5"/>
  <c r="I103" i="5"/>
  <c r="AI102" i="5"/>
  <c r="AE102" i="5"/>
  <c r="AA102" i="5"/>
  <c r="W102" i="5"/>
  <c r="S102" i="5"/>
  <c r="O102" i="5"/>
  <c r="K102" i="5"/>
  <c r="G102" i="5"/>
  <c r="AG101" i="5"/>
  <c r="AC101" i="5"/>
  <c r="Y101" i="5"/>
  <c r="U101" i="5"/>
  <c r="Q101" i="5"/>
  <c r="M101" i="5"/>
  <c r="I101" i="5"/>
  <c r="AI100" i="5"/>
  <c r="AE100" i="5"/>
  <c r="AA100" i="5"/>
  <c r="W100" i="5"/>
  <c r="S100" i="5"/>
  <c r="O100" i="5"/>
  <c r="K100" i="5"/>
  <c r="G100" i="5"/>
  <c r="AG99" i="5"/>
  <c r="AC99" i="5"/>
  <c r="Y99" i="5"/>
  <c r="U99" i="5"/>
  <c r="Q99" i="5"/>
  <c r="M99" i="5"/>
  <c r="I99" i="5"/>
  <c r="AI98" i="5"/>
  <c r="AE98" i="5"/>
  <c r="AA98" i="5"/>
  <c r="W98" i="5"/>
  <c r="S98" i="5"/>
  <c r="O98" i="5"/>
  <c r="K98" i="5"/>
  <c r="G98" i="5"/>
  <c r="AG97" i="5"/>
  <c r="AC97" i="5"/>
  <c r="Y97" i="5"/>
  <c r="U97" i="5"/>
  <c r="Q97" i="5"/>
  <c r="M97" i="5"/>
  <c r="I97" i="5"/>
  <c r="AI96" i="5"/>
  <c r="AE96" i="5"/>
  <c r="AA96" i="5"/>
  <c r="W96" i="5"/>
  <c r="S96" i="5"/>
  <c r="O96" i="5"/>
  <c r="K96" i="5"/>
  <c r="G96" i="5"/>
  <c r="AG108" i="5"/>
  <c r="AE107" i="5"/>
  <c r="AC106" i="5"/>
  <c r="AA105" i="5"/>
  <c r="Y104" i="5"/>
  <c r="W103" i="5"/>
  <c r="AF102" i="5"/>
  <c r="P102" i="5"/>
  <c r="AD101" i="5"/>
  <c r="N101" i="5"/>
  <c r="AB100" i="5"/>
  <c r="L100" i="5"/>
  <c r="Z99" i="5"/>
  <c r="J99" i="5"/>
  <c r="X98" i="5"/>
  <c r="H98" i="5"/>
  <c r="V97" i="5"/>
  <c r="AJ96" i="5"/>
  <c r="T96" i="5"/>
  <c r="Y108" i="5"/>
  <c r="W107" i="5"/>
  <c r="U106" i="5"/>
  <c r="S105" i="5"/>
  <c r="Q104" i="5"/>
  <c r="O103" i="5"/>
  <c r="AB102" i="5"/>
  <c r="L102" i="5"/>
  <c r="Z101" i="5"/>
  <c r="J101" i="5"/>
  <c r="X100" i="5"/>
  <c r="H100" i="5"/>
  <c r="V99" i="5"/>
  <c r="AJ98" i="5"/>
  <c r="T98" i="5"/>
  <c r="AH97" i="5"/>
  <c r="R97" i="5"/>
  <c r="AF96" i="5"/>
  <c r="P96" i="5"/>
  <c r="Q108" i="5"/>
  <c r="O107" i="5"/>
  <c r="M106" i="5"/>
  <c r="K105" i="5"/>
  <c r="I104" i="5"/>
  <c r="J103" i="5"/>
  <c r="X102" i="5"/>
  <c r="H102" i="5"/>
  <c r="V101" i="5"/>
  <c r="AJ100" i="5"/>
  <c r="T100" i="5"/>
  <c r="AH99" i="5"/>
  <c r="R99" i="5"/>
  <c r="AF98" i="5"/>
  <c r="P98" i="5"/>
  <c r="AD97" i="5"/>
  <c r="N97" i="5"/>
  <c r="AB96" i="5"/>
  <c r="L96" i="5"/>
  <c r="I108" i="5"/>
  <c r="AE103" i="5"/>
  <c r="R101" i="5"/>
  <c r="N99" i="5"/>
  <c r="J97" i="5"/>
  <c r="G107" i="5"/>
  <c r="AJ102" i="5"/>
  <c r="AF100" i="5"/>
  <c r="AB98" i="5"/>
  <c r="X96" i="5"/>
  <c r="AI92" i="5"/>
  <c r="AE92" i="5"/>
  <c r="AA92" i="5"/>
  <c r="W92" i="5"/>
  <c r="S92" i="5"/>
  <c r="O92" i="5"/>
  <c r="K92" i="5"/>
  <c r="G92" i="5"/>
  <c r="AG91" i="5"/>
  <c r="AC91" i="5"/>
  <c r="Y91" i="5"/>
  <c r="U91" i="5"/>
  <c r="Q91" i="5"/>
  <c r="M91" i="5"/>
  <c r="I91" i="5"/>
  <c r="AI90" i="5"/>
  <c r="AE90" i="5"/>
  <c r="AA90" i="5"/>
  <c r="W90" i="5"/>
  <c r="S90" i="5"/>
  <c r="O90" i="5"/>
  <c r="K90" i="5"/>
  <c r="G90" i="5"/>
  <c r="AG89" i="5"/>
  <c r="AC89" i="5"/>
  <c r="Y89" i="5"/>
  <c r="U89" i="5"/>
  <c r="Q89" i="5"/>
  <c r="M89" i="5"/>
  <c r="I89" i="5"/>
  <c r="AI88" i="5"/>
  <c r="AE88" i="5"/>
  <c r="AA88" i="5"/>
  <c r="W88" i="5"/>
  <c r="S88" i="5"/>
  <c r="O88" i="5"/>
  <c r="K88" i="5"/>
  <c r="G88" i="5"/>
  <c r="AG87" i="5"/>
  <c r="AC87" i="5"/>
  <c r="Y87" i="5"/>
  <c r="U87" i="5"/>
  <c r="Q87" i="5"/>
  <c r="M87" i="5"/>
  <c r="I87" i="5"/>
  <c r="AI86" i="5"/>
  <c r="AE86" i="5"/>
  <c r="AA86" i="5"/>
  <c r="W86" i="5"/>
  <c r="S86" i="5"/>
  <c r="O86" i="5"/>
  <c r="K86" i="5"/>
  <c r="G86" i="5"/>
  <c r="AG85" i="5"/>
  <c r="AC85" i="5"/>
  <c r="Y85" i="5"/>
  <c r="U85" i="5"/>
  <c r="Q85" i="5"/>
  <c r="M85" i="5"/>
  <c r="I85" i="5"/>
  <c r="AI84" i="5"/>
  <c r="AE84" i="5"/>
  <c r="AA84" i="5"/>
  <c r="W84" i="5"/>
  <c r="S84" i="5"/>
  <c r="O84" i="5"/>
  <c r="K84" i="5"/>
  <c r="G84" i="5"/>
  <c r="AG83" i="5"/>
  <c r="AC83" i="5"/>
  <c r="Y83" i="5"/>
  <c r="U83" i="5"/>
  <c r="Q83" i="5"/>
  <c r="M83" i="5"/>
  <c r="I83" i="5"/>
  <c r="AI82" i="5"/>
  <c r="AE82" i="5"/>
  <c r="AA82" i="5"/>
  <c r="W82" i="5"/>
  <c r="S82" i="5"/>
  <c r="O82" i="5"/>
  <c r="K82" i="5"/>
  <c r="G82" i="5"/>
  <c r="AG81" i="5"/>
  <c r="AC81" i="5"/>
  <c r="Y81" i="5"/>
  <c r="U81" i="5"/>
  <c r="Q81" i="5"/>
  <c r="M81" i="5"/>
  <c r="I81" i="5"/>
  <c r="AI80" i="5"/>
  <c r="AE80" i="5"/>
  <c r="AA80" i="5"/>
  <c r="W80" i="5"/>
  <c r="S80" i="5"/>
  <c r="O80" i="5"/>
  <c r="K80" i="5"/>
  <c r="G80" i="5"/>
  <c r="AG79" i="5"/>
  <c r="AC79" i="5"/>
  <c r="Y79" i="5"/>
  <c r="U79" i="5"/>
  <c r="Q79" i="5"/>
  <c r="M79" i="5"/>
  <c r="I79" i="5"/>
  <c r="AI78" i="5"/>
  <c r="AE78" i="5"/>
  <c r="AA78" i="5"/>
  <c r="W78" i="5"/>
  <c r="S78" i="5"/>
  <c r="O78" i="5"/>
  <c r="K78" i="5"/>
  <c r="G78" i="5"/>
  <c r="AG77" i="5"/>
  <c r="AC77" i="5"/>
  <c r="Y77" i="5"/>
  <c r="U77" i="5"/>
  <c r="Q77" i="5"/>
  <c r="M77" i="5"/>
  <c r="I77" i="5"/>
  <c r="AI76" i="5"/>
  <c r="AE76" i="5"/>
  <c r="AA76" i="5"/>
  <c r="W76" i="5"/>
  <c r="AI105" i="5"/>
  <c r="T102" i="5"/>
  <c r="P100" i="5"/>
  <c r="L98" i="5"/>
  <c r="H96" i="5"/>
  <c r="AH92" i="5"/>
  <c r="AD92" i="5"/>
  <c r="Z92" i="5"/>
  <c r="V92" i="5"/>
  <c r="R92" i="5"/>
  <c r="N92" i="5"/>
  <c r="J92" i="5"/>
  <c r="AJ91" i="5"/>
  <c r="AF91" i="5"/>
  <c r="AB91" i="5"/>
  <c r="X91" i="5"/>
  <c r="T91" i="5"/>
  <c r="P91" i="5"/>
  <c r="L91" i="5"/>
  <c r="H91" i="5"/>
  <c r="AH90" i="5"/>
  <c r="AD90" i="5"/>
  <c r="Z90" i="5"/>
  <c r="V90" i="5"/>
  <c r="R90" i="5"/>
  <c r="N90" i="5"/>
  <c r="J90" i="5"/>
  <c r="AJ89" i="5"/>
  <c r="AF89" i="5"/>
  <c r="AB89" i="5"/>
  <c r="X89" i="5"/>
  <c r="T89" i="5"/>
  <c r="P89" i="5"/>
  <c r="L89" i="5"/>
  <c r="H89" i="5"/>
  <c r="AH88" i="5"/>
  <c r="AD88" i="5"/>
  <c r="Z88" i="5"/>
  <c r="V88" i="5"/>
  <c r="R88" i="5"/>
  <c r="N88" i="5"/>
  <c r="J88" i="5"/>
  <c r="AJ87" i="5"/>
  <c r="AF87" i="5"/>
  <c r="AB87" i="5"/>
  <c r="X87" i="5"/>
  <c r="T87" i="5"/>
  <c r="P87" i="5"/>
  <c r="L87" i="5"/>
  <c r="H87" i="5"/>
  <c r="AH86" i="5"/>
  <c r="AD86" i="5"/>
  <c r="Z86" i="5"/>
  <c r="V86" i="5"/>
  <c r="R86" i="5"/>
  <c r="N86" i="5"/>
  <c r="J86" i="5"/>
  <c r="AJ85" i="5"/>
  <c r="AF85" i="5"/>
  <c r="AB85" i="5"/>
  <c r="X85" i="5"/>
  <c r="T85" i="5"/>
  <c r="P85" i="5"/>
  <c r="L85" i="5"/>
  <c r="H85" i="5"/>
  <c r="AH84" i="5"/>
  <c r="AD84" i="5"/>
  <c r="Z84" i="5"/>
  <c r="V84" i="5"/>
  <c r="R84" i="5"/>
  <c r="N84" i="5"/>
  <c r="J84" i="5"/>
  <c r="AJ83" i="5"/>
  <c r="AF83" i="5"/>
  <c r="AB83" i="5"/>
  <c r="X83" i="5"/>
  <c r="T83" i="5"/>
  <c r="P83" i="5"/>
  <c r="L83" i="5"/>
  <c r="H83" i="5"/>
  <c r="AH82" i="5"/>
  <c r="AD82" i="5"/>
  <c r="Z82" i="5"/>
  <c r="V82" i="5"/>
  <c r="R82" i="5"/>
  <c r="N82" i="5"/>
  <c r="J82" i="5"/>
  <c r="AJ81" i="5"/>
  <c r="AF81" i="5"/>
  <c r="AB81" i="5"/>
  <c r="X81" i="5"/>
  <c r="T81" i="5"/>
  <c r="P81" i="5"/>
  <c r="L81" i="5"/>
  <c r="H81" i="5"/>
  <c r="AH80" i="5"/>
  <c r="AD80" i="5"/>
  <c r="Z80" i="5"/>
  <c r="V80" i="5"/>
  <c r="R80" i="5"/>
  <c r="N80" i="5"/>
  <c r="J80" i="5"/>
  <c r="AJ79" i="5"/>
  <c r="AF79" i="5"/>
  <c r="AB79" i="5"/>
  <c r="X79" i="5"/>
  <c r="T79" i="5"/>
  <c r="P79" i="5"/>
  <c r="L79" i="5"/>
  <c r="H79" i="5"/>
  <c r="AH78" i="5"/>
  <c r="AD78" i="5"/>
  <c r="Z78" i="5"/>
  <c r="V78" i="5"/>
  <c r="R78" i="5"/>
  <c r="N78" i="5"/>
  <c r="J78" i="5"/>
  <c r="AJ77" i="5"/>
  <c r="AF77" i="5"/>
  <c r="AB77" i="5"/>
  <c r="X77" i="5"/>
  <c r="T77" i="5"/>
  <c r="P77" i="5"/>
  <c r="L77" i="5"/>
  <c r="H77" i="5"/>
  <c r="AH76" i="5"/>
  <c r="AD76" i="5"/>
  <c r="Z76" i="5"/>
  <c r="V76" i="5"/>
  <c r="AG104" i="5"/>
  <c r="AH101" i="5"/>
  <c r="AD99" i="5"/>
  <c r="Z97" i="5"/>
  <c r="AG92" i="5"/>
  <c r="Y92" i="5"/>
  <c r="Q92" i="5"/>
  <c r="I92" i="5"/>
  <c r="AE91" i="5"/>
  <c r="W91" i="5"/>
  <c r="O91" i="5"/>
  <c r="G91" i="5"/>
  <c r="AC90" i="5"/>
  <c r="U90" i="5"/>
  <c r="M90" i="5"/>
  <c r="AI89" i="5"/>
  <c r="AA89" i="5"/>
  <c r="S89" i="5"/>
  <c r="K89" i="5"/>
  <c r="AG88" i="5"/>
  <c r="Y88" i="5"/>
  <c r="Q88" i="5"/>
  <c r="I88" i="5"/>
  <c r="AE87" i="5"/>
  <c r="W87" i="5"/>
  <c r="O87" i="5"/>
  <c r="G87" i="5"/>
  <c r="AC86" i="5"/>
  <c r="U86" i="5"/>
  <c r="M86" i="5"/>
  <c r="AI85" i="5"/>
  <c r="AA85" i="5"/>
  <c r="S85" i="5"/>
  <c r="K85" i="5"/>
  <c r="AG84" i="5"/>
  <c r="Y84" i="5"/>
  <c r="Q84" i="5"/>
  <c r="I84" i="5"/>
  <c r="AE83" i="5"/>
  <c r="W83" i="5"/>
  <c r="O83" i="5"/>
  <c r="G83" i="5"/>
  <c r="AC82" i="5"/>
  <c r="U82" i="5"/>
  <c r="M82" i="5"/>
  <c r="AI81" i="5"/>
  <c r="AA81" i="5"/>
  <c r="S81" i="5"/>
  <c r="K81" i="5"/>
  <c r="AG80" i="5"/>
  <c r="Y80" i="5"/>
  <c r="Q80" i="5"/>
  <c r="I80" i="5"/>
  <c r="AE79" i="5"/>
  <c r="W79" i="5"/>
  <c r="O79" i="5"/>
  <c r="G79" i="5"/>
  <c r="AC78" i="5"/>
  <c r="U78" i="5"/>
  <c r="M78" i="5"/>
  <c r="AI77" i="5"/>
  <c r="AA77" i="5"/>
  <c r="S77" i="5"/>
  <c r="K77" i="5"/>
  <c r="AG76" i="5"/>
  <c r="Y76" i="5"/>
  <c r="S76" i="5"/>
  <c r="O76" i="5"/>
  <c r="K76" i="5"/>
  <c r="G76" i="5"/>
  <c r="AG75" i="5"/>
  <c r="AC75" i="5"/>
  <c r="Y75" i="5"/>
  <c r="U75" i="5"/>
  <c r="Q75" i="5"/>
  <c r="M75" i="5"/>
  <c r="I75" i="5"/>
  <c r="AI74" i="5"/>
  <c r="AE74" i="5"/>
  <c r="AA74" i="5"/>
  <c r="W74" i="5"/>
  <c r="S74" i="5"/>
  <c r="O74" i="5"/>
  <c r="K74" i="5"/>
  <c r="G74" i="5"/>
  <c r="AG73" i="5"/>
  <c r="AC73" i="5"/>
  <c r="Y73" i="5"/>
  <c r="U73" i="5"/>
  <c r="Q73" i="5"/>
  <c r="M73" i="5"/>
  <c r="I73" i="5"/>
  <c r="AI72" i="5"/>
  <c r="AE72" i="5"/>
  <c r="AA72" i="5"/>
  <c r="W72" i="5"/>
  <c r="S72" i="5"/>
  <c r="O72" i="5"/>
  <c r="K72" i="5"/>
  <c r="G72" i="5"/>
  <c r="AG71" i="5"/>
  <c r="AC71" i="5"/>
  <c r="Y71" i="5"/>
  <c r="U71" i="5"/>
  <c r="Q71" i="5"/>
  <c r="M71" i="5"/>
  <c r="I71" i="5"/>
  <c r="AI70" i="5"/>
  <c r="AE70" i="5"/>
  <c r="AA70" i="5"/>
  <c r="W70" i="5"/>
  <c r="S70" i="5"/>
  <c r="O70" i="5"/>
  <c r="K70" i="5"/>
  <c r="G70" i="5"/>
  <c r="AG69" i="5"/>
  <c r="AC69" i="5"/>
  <c r="Y69" i="5"/>
  <c r="U69" i="5"/>
  <c r="Q69" i="5"/>
  <c r="M69" i="5"/>
  <c r="I69" i="5"/>
  <c r="AI68" i="5"/>
  <c r="AE68" i="5"/>
  <c r="AA68" i="5"/>
  <c r="W68" i="5"/>
  <c r="S68" i="5"/>
  <c r="O68" i="5"/>
  <c r="K68" i="5"/>
  <c r="G68" i="5"/>
  <c r="AG67" i="5"/>
  <c r="AC67" i="5"/>
  <c r="Y67" i="5"/>
  <c r="U67" i="5"/>
  <c r="Q67" i="5"/>
  <c r="M67" i="5"/>
  <c r="I67" i="5"/>
  <c r="AI66" i="5"/>
  <c r="AE66" i="5"/>
  <c r="AA66" i="5"/>
  <c r="W66" i="5"/>
  <c r="S66" i="5"/>
  <c r="O66" i="5"/>
  <c r="K66" i="5"/>
  <c r="G66" i="5"/>
  <c r="AG65" i="5"/>
  <c r="AC65" i="5"/>
  <c r="Y65" i="5"/>
  <c r="U65" i="5"/>
  <c r="Q65" i="5"/>
  <c r="M65" i="5"/>
  <c r="I65" i="5"/>
  <c r="AI64" i="5"/>
  <c r="AE64" i="5"/>
  <c r="AA64" i="5"/>
  <c r="W64" i="5"/>
  <c r="S64" i="5"/>
  <c r="O64" i="5"/>
  <c r="K64" i="5"/>
  <c r="G64" i="5"/>
  <c r="AG63" i="5"/>
  <c r="AC63" i="5"/>
  <c r="Y63" i="5"/>
  <c r="U63" i="5"/>
  <c r="Q63" i="5"/>
  <c r="M63" i="5"/>
  <c r="I63" i="5"/>
  <c r="T92" i="5"/>
  <c r="Z91" i="5"/>
  <c r="AF90" i="5"/>
  <c r="X90" i="5"/>
  <c r="AD89" i="5"/>
  <c r="AJ88" i="5"/>
  <c r="L88" i="5"/>
  <c r="Z87" i="5"/>
  <c r="AF86" i="5"/>
  <c r="H86" i="5"/>
  <c r="AJ84" i="5"/>
  <c r="L84" i="5"/>
  <c r="Z83" i="5"/>
  <c r="AF82" i="5"/>
  <c r="H82" i="5"/>
  <c r="N81" i="5"/>
  <c r="L80" i="5"/>
  <c r="Z79" i="5"/>
  <c r="J65" i="5"/>
  <c r="V63" i="5"/>
  <c r="AF92" i="5"/>
  <c r="X92" i="5"/>
  <c r="P92" i="5"/>
  <c r="H92" i="5"/>
  <c r="AD91" i="5"/>
  <c r="V91" i="5"/>
  <c r="N91" i="5"/>
  <c r="AJ90" i="5"/>
  <c r="AB90" i="5"/>
  <c r="T90" i="5"/>
  <c r="L90" i="5"/>
  <c r="AH89" i="5"/>
  <c r="Z89" i="5"/>
  <c r="R89" i="5"/>
  <c r="J89" i="5"/>
  <c r="AF88" i="5"/>
  <c r="X88" i="5"/>
  <c r="P88" i="5"/>
  <c r="H88" i="5"/>
  <c r="AD87" i="5"/>
  <c r="V87" i="5"/>
  <c r="N87" i="5"/>
  <c r="AJ86" i="5"/>
  <c r="AB86" i="5"/>
  <c r="T86" i="5"/>
  <c r="L86" i="5"/>
  <c r="AH85" i="5"/>
  <c r="Z85" i="5"/>
  <c r="R85" i="5"/>
  <c r="J85" i="5"/>
  <c r="AF84" i="5"/>
  <c r="X84" i="5"/>
  <c r="P84" i="5"/>
  <c r="H84" i="5"/>
  <c r="AD83" i="5"/>
  <c r="V83" i="5"/>
  <c r="N83" i="5"/>
  <c r="AJ82" i="5"/>
  <c r="AB82" i="5"/>
  <c r="T82" i="5"/>
  <c r="L82" i="5"/>
  <c r="AH81" i="5"/>
  <c r="Z81" i="5"/>
  <c r="R81" i="5"/>
  <c r="J81" i="5"/>
  <c r="AF80" i="5"/>
  <c r="X80" i="5"/>
  <c r="P80" i="5"/>
  <c r="H80" i="5"/>
  <c r="AD79" i="5"/>
  <c r="V79" i="5"/>
  <c r="N79" i="5"/>
  <c r="AJ78" i="5"/>
  <c r="AB78" i="5"/>
  <c r="T78" i="5"/>
  <c r="L78" i="5"/>
  <c r="AH77" i="5"/>
  <c r="Z77" i="5"/>
  <c r="R77" i="5"/>
  <c r="J77" i="5"/>
  <c r="AF76" i="5"/>
  <c r="X76" i="5"/>
  <c r="R76" i="5"/>
  <c r="N76" i="5"/>
  <c r="J76" i="5"/>
  <c r="AJ75" i="5"/>
  <c r="AF75" i="5"/>
  <c r="AB75" i="5"/>
  <c r="X75" i="5"/>
  <c r="T75" i="5"/>
  <c r="P75" i="5"/>
  <c r="L75" i="5"/>
  <c r="H75" i="5"/>
  <c r="AH74" i="5"/>
  <c r="AD74" i="5"/>
  <c r="Z74" i="5"/>
  <c r="V74" i="5"/>
  <c r="R74" i="5"/>
  <c r="N74" i="5"/>
  <c r="J74" i="5"/>
  <c r="AJ73" i="5"/>
  <c r="AF73" i="5"/>
  <c r="AB73" i="5"/>
  <c r="X73" i="5"/>
  <c r="T73" i="5"/>
  <c r="P73" i="5"/>
  <c r="L73" i="5"/>
  <c r="H73" i="5"/>
  <c r="AH72" i="5"/>
  <c r="AD72" i="5"/>
  <c r="Z72" i="5"/>
  <c r="V72" i="5"/>
  <c r="R72" i="5"/>
  <c r="N72" i="5"/>
  <c r="J72" i="5"/>
  <c r="AJ71" i="5"/>
  <c r="AF71" i="5"/>
  <c r="AB71" i="5"/>
  <c r="X71" i="5"/>
  <c r="T71" i="5"/>
  <c r="P71" i="5"/>
  <c r="L71" i="5"/>
  <c r="H71" i="5"/>
  <c r="AH70" i="5"/>
  <c r="AD70" i="5"/>
  <c r="Z70" i="5"/>
  <c r="V70" i="5"/>
  <c r="R70" i="5"/>
  <c r="N70" i="5"/>
  <c r="J70" i="5"/>
  <c r="AJ69" i="5"/>
  <c r="AF69" i="5"/>
  <c r="AB69" i="5"/>
  <c r="X69" i="5"/>
  <c r="T69" i="5"/>
  <c r="P69" i="5"/>
  <c r="L69" i="5"/>
  <c r="H69" i="5"/>
  <c r="AH68" i="5"/>
  <c r="AD68" i="5"/>
  <c r="Z68" i="5"/>
  <c r="V68" i="5"/>
  <c r="R68" i="5"/>
  <c r="N68" i="5"/>
  <c r="J68" i="5"/>
  <c r="AJ67" i="5"/>
  <c r="AF67" i="5"/>
  <c r="AB67" i="5"/>
  <c r="X67" i="5"/>
  <c r="T67" i="5"/>
  <c r="P67" i="5"/>
  <c r="L67" i="5"/>
  <c r="H67" i="5"/>
  <c r="AH66" i="5"/>
  <c r="AD66" i="5"/>
  <c r="Z66" i="5"/>
  <c r="V66" i="5"/>
  <c r="R66" i="5"/>
  <c r="N66" i="5"/>
  <c r="J66" i="5"/>
  <c r="AJ65" i="5"/>
  <c r="AF65" i="5"/>
  <c r="AB65" i="5"/>
  <c r="X65" i="5"/>
  <c r="T65" i="5"/>
  <c r="P65" i="5"/>
  <c r="L65" i="5"/>
  <c r="H65" i="5"/>
  <c r="AH64" i="5"/>
  <c r="AD64" i="5"/>
  <c r="Z64" i="5"/>
  <c r="V64" i="5"/>
  <c r="R64" i="5"/>
  <c r="N64" i="5"/>
  <c r="J64" i="5"/>
  <c r="AJ63" i="5"/>
  <c r="AF63" i="5"/>
  <c r="AB63" i="5"/>
  <c r="X63" i="5"/>
  <c r="T63" i="5"/>
  <c r="P63" i="5"/>
  <c r="L63" i="5"/>
  <c r="H63" i="5"/>
  <c r="AB92" i="5"/>
  <c r="AH91" i="5"/>
  <c r="J91" i="5"/>
  <c r="H90" i="5"/>
  <c r="N89" i="5"/>
  <c r="T88" i="5"/>
  <c r="R87" i="5"/>
  <c r="X86" i="5"/>
  <c r="AD85" i="5"/>
  <c r="N85" i="5"/>
  <c r="T84" i="5"/>
  <c r="R83" i="5"/>
  <c r="X82" i="5"/>
  <c r="AD81" i="5"/>
  <c r="AJ80" i="5"/>
  <c r="T80" i="5"/>
  <c r="R79" i="5"/>
  <c r="AF78" i="5"/>
  <c r="P78" i="5"/>
  <c r="AD77" i="5"/>
  <c r="N77" i="5"/>
  <c r="AB76" i="5"/>
  <c r="P76" i="5"/>
  <c r="H76" i="5"/>
  <c r="AD75" i="5"/>
  <c r="V75" i="5"/>
  <c r="N75" i="5"/>
  <c r="AJ74" i="5"/>
  <c r="AB74" i="5"/>
  <c r="T74" i="5"/>
  <c r="L74" i="5"/>
  <c r="AH73" i="5"/>
  <c r="Z73" i="5"/>
  <c r="R73" i="5"/>
  <c r="J73" i="5"/>
  <c r="AF72" i="5"/>
  <c r="X72" i="5"/>
  <c r="P72" i="5"/>
  <c r="H72" i="5"/>
  <c r="AD71" i="5"/>
  <c r="V71" i="5"/>
  <c r="N71" i="5"/>
  <c r="AJ70" i="5"/>
  <c r="AB70" i="5"/>
  <c r="T70" i="5"/>
  <c r="L70" i="5"/>
  <c r="AH69" i="5"/>
  <c r="Z69" i="5"/>
  <c r="R69" i="5"/>
  <c r="J69" i="5"/>
  <c r="AF68" i="5"/>
  <c r="X68" i="5"/>
  <c r="P68" i="5"/>
  <c r="H68" i="5"/>
  <c r="AD67" i="5"/>
  <c r="V67" i="5"/>
  <c r="N67" i="5"/>
  <c r="AJ66" i="5"/>
  <c r="AB66" i="5"/>
  <c r="T66" i="5"/>
  <c r="L66" i="5"/>
  <c r="AH65" i="5"/>
  <c r="Z65" i="5"/>
  <c r="R65" i="5"/>
  <c r="AF64" i="5"/>
  <c r="X64" i="5"/>
  <c r="P64" i="5"/>
  <c r="H64" i="5"/>
  <c r="AD63" i="5"/>
  <c r="R63" i="5"/>
  <c r="J63" i="5"/>
  <c r="AC92" i="5"/>
  <c r="U92" i="5"/>
  <c r="M92" i="5"/>
  <c r="AI91" i="5"/>
  <c r="AA91" i="5"/>
  <c r="S91" i="5"/>
  <c r="K91" i="5"/>
  <c r="AG90" i="5"/>
  <c r="Y90" i="5"/>
  <c r="Q90" i="5"/>
  <c r="I90" i="5"/>
  <c r="AE89" i="5"/>
  <c r="W89" i="5"/>
  <c r="O89" i="5"/>
  <c r="G89" i="5"/>
  <c r="AC88" i="5"/>
  <c r="U88" i="5"/>
  <c r="M88" i="5"/>
  <c r="AI87" i="5"/>
  <c r="AA87" i="5"/>
  <c r="S87" i="5"/>
  <c r="K87" i="5"/>
  <c r="AG86" i="5"/>
  <c r="Y86" i="5"/>
  <c r="Q86" i="5"/>
  <c r="I86" i="5"/>
  <c r="AE85" i="5"/>
  <c r="W85" i="5"/>
  <c r="O85" i="5"/>
  <c r="G85" i="5"/>
  <c r="AC84" i="5"/>
  <c r="U84" i="5"/>
  <c r="M84" i="5"/>
  <c r="AI83" i="5"/>
  <c r="AA83" i="5"/>
  <c r="S83" i="5"/>
  <c r="K83" i="5"/>
  <c r="AG82" i="5"/>
  <c r="Y82" i="5"/>
  <c r="Q82" i="5"/>
  <c r="I82" i="5"/>
  <c r="AE81" i="5"/>
  <c r="W81" i="5"/>
  <c r="O81" i="5"/>
  <c r="G81" i="5"/>
  <c r="AC80" i="5"/>
  <c r="U80" i="5"/>
  <c r="M80" i="5"/>
  <c r="AI79" i="5"/>
  <c r="AA79" i="5"/>
  <c r="S79" i="5"/>
  <c r="K79" i="5"/>
  <c r="AG78" i="5"/>
  <c r="Y78" i="5"/>
  <c r="Q78" i="5"/>
  <c r="I78" i="5"/>
  <c r="AE77" i="5"/>
  <c r="W77" i="5"/>
  <c r="O77" i="5"/>
  <c r="G77" i="5"/>
  <c r="AC76" i="5"/>
  <c r="U76" i="5"/>
  <c r="Q76" i="5"/>
  <c r="M76" i="5"/>
  <c r="I76" i="5"/>
  <c r="AI75" i="5"/>
  <c r="AE75" i="5"/>
  <c r="AA75" i="5"/>
  <c r="W75" i="5"/>
  <c r="S75" i="5"/>
  <c r="O75" i="5"/>
  <c r="K75" i="5"/>
  <c r="G75" i="5"/>
  <c r="AG74" i="5"/>
  <c r="AC74" i="5"/>
  <c r="Y74" i="5"/>
  <c r="U74" i="5"/>
  <c r="Q74" i="5"/>
  <c r="M74" i="5"/>
  <c r="I74" i="5"/>
  <c r="AI73" i="5"/>
  <c r="AE73" i="5"/>
  <c r="AA73" i="5"/>
  <c r="W73" i="5"/>
  <c r="S73" i="5"/>
  <c r="O73" i="5"/>
  <c r="K73" i="5"/>
  <c r="G73" i="5"/>
  <c r="AG72" i="5"/>
  <c r="AC72" i="5"/>
  <c r="Y72" i="5"/>
  <c r="U72" i="5"/>
  <c r="Q72" i="5"/>
  <c r="M72" i="5"/>
  <c r="I72" i="5"/>
  <c r="AI71" i="5"/>
  <c r="AE71" i="5"/>
  <c r="AA71" i="5"/>
  <c r="W71" i="5"/>
  <c r="S71" i="5"/>
  <c r="O71" i="5"/>
  <c r="K71" i="5"/>
  <c r="G71" i="5"/>
  <c r="AG70" i="5"/>
  <c r="AC70" i="5"/>
  <c r="Y70" i="5"/>
  <c r="U70" i="5"/>
  <c r="Q70" i="5"/>
  <c r="M70" i="5"/>
  <c r="I70" i="5"/>
  <c r="AI69" i="5"/>
  <c r="AE69" i="5"/>
  <c r="AA69" i="5"/>
  <c r="W69" i="5"/>
  <c r="S69" i="5"/>
  <c r="O69" i="5"/>
  <c r="K69" i="5"/>
  <c r="G69" i="5"/>
  <c r="AG68" i="5"/>
  <c r="AC68" i="5"/>
  <c r="Y68" i="5"/>
  <c r="U68" i="5"/>
  <c r="Q68" i="5"/>
  <c r="M68" i="5"/>
  <c r="I68" i="5"/>
  <c r="AI67" i="5"/>
  <c r="AE67" i="5"/>
  <c r="AA67" i="5"/>
  <c r="W67" i="5"/>
  <c r="S67" i="5"/>
  <c r="O67" i="5"/>
  <c r="K67" i="5"/>
  <c r="G67" i="5"/>
  <c r="AG66" i="5"/>
  <c r="AC66" i="5"/>
  <c r="Y66" i="5"/>
  <c r="U66" i="5"/>
  <c r="Q66" i="5"/>
  <c r="M66" i="5"/>
  <c r="I66" i="5"/>
  <c r="AI65" i="5"/>
  <c r="AE65" i="5"/>
  <c r="AA65" i="5"/>
  <c r="W65" i="5"/>
  <c r="S65" i="5"/>
  <c r="O65" i="5"/>
  <c r="K65" i="5"/>
  <c r="G65" i="5"/>
  <c r="AG64" i="5"/>
  <c r="AC64" i="5"/>
  <c r="Y64" i="5"/>
  <c r="U64" i="5"/>
  <c r="Q64" i="5"/>
  <c r="M64" i="5"/>
  <c r="I64" i="5"/>
  <c r="AI63" i="5"/>
  <c r="AE63" i="5"/>
  <c r="AA63" i="5"/>
  <c r="W63" i="5"/>
  <c r="S63" i="5"/>
  <c r="O63" i="5"/>
  <c r="K63" i="5"/>
  <c r="G63" i="5"/>
  <c r="AJ92" i="5"/>
  <c r="L92" i="5"/>
  <c r="R91" i="5"/>
  <c r="P90" i="5"/>
  <c r="V89" i="5"/>
  <c r="AB88" i="5"/>
  <c r="AH87" i="5"/>
  <c r="J87" i="5"/>
  <c r="P86" i="5"/>
  <c r="V85" i="5"/>
  <c r="AB84" i="5"/>
  <c r="AH83" i="5"/>
  <c r="J83" i="5"/>
  <c r="P82" i="5"/>
  <c r="V81" i="5"/>
  <c r="AB80" i="5"/>
  <c r="AH79" i="5"/>
  <c r="J79" i="5"/>
  <c r="X78" i="5"/>
  <c r="H78" i="5"/>
  <c r="V77" i="5"/>
  <c r="AJ76" i="5"/>
  <c r="T76" i="5"/>
  <c r="L76" i="5"/>
  <c r="AH75" i="5"/>
  <c r="Z75" i="5"/>
  <c r="R75" i="5"/>
  <c r="J75" i="5"/>
  <c r="AF74" i="5"/>
  <c r="X74" i="5"/>
  <c r="P74" i="5"/>
  <c r="H74" i="5"/>
  <c r="AD73" i="5"/>
  <c r="V73" i="5"/>
  <c r="N73" i="5"/>
  <c r="AJ72" i="5"/>
  <c r="AB72" i="5"/>
  <c r="T72" i="5"/>
  <c r="L72" i="5"/>
  <c r="AH71" i="5"/>
  <c r="Z71" i="5"/>
  <c r="R71" i="5"/>
  <c r="J71" i="5"/>
  <c r="AF70" i="5"/>
  <c r="X70" i="5"/>
  <c r="P70" i="5"/>
  <c r="H70" i="5"/>
  <c r="AD69" i="5"/>
  <c r="V69" i="5"/>
  <c r="N69" i="5"/>
  <c r="AJ68" i="5"/>
  <c r="AB68" i="5"/>
  <c r="T68" i="5"/>
  <c r="L68" i="5"/>
  <c r="AH67" i="5"/>
  <c r="Z67" i="5"/>
  <c r="R67" i="5"/>
  <c r="J67" i="5"/>
  <c r="AF66" i="5"/>
  <c r="X66" i="5"/>
  <c r="P66" i="5"/>
  <c r="H66" i="5"/>
  <c r="AD65" i="5"/>
  <c r="V65" i="5"/>
  <c r="AJ64" i="5"/>
  <c r="AB64" i="5"/>
  <c r="T64" i="5"/>
  <c r="L64" i="5"/>
  <c r="AH63" i="5"/>
  <c r="Z63" i="5"/>
  <c r="N63" i="5"/>
  <c r="N65" i="5"/>
  <c r="AC155" i="5"/>
  <c r="Y155" i="5"/>
  <c r="U155" i="5"/>
  <c r="Q155" i="5"/>
  <c r="M155" i="5"/>
  <c r="I155" i="5"/>
  <c r="AA154" i="5"/>
  <c r="W154" i="5"/>
  <c r="S154" i="5"/>
  <c r="O154" i="5"/>
  <c r="K154" i="5"/>
  <c r="G154" i="5"/>
  <c r="AC153" i="5"/>
  <c r="Y153" i="5"/>
  <c r="U153" i="5"/>
  <c r="Q153" i="5"/>
  <c r="M153" i="5"/>
  <c r="I153" i="5"/>
  <c r="AA152" i="5"/>
  <c r="W152" i="5"/>
  <c r="S152" i="5"/>
  <c r="O152" i="5"/>
  <c r="K152" i="5"/>
  <c r="G152" i="5"/>
  <c r="AC151" i="5"/>
  <c r="Y151" i="5"/>
  <c r="U151" i="5"/>
  <c r="Q151" i="5"/>
  <c r="M151" i="5"/>
  <c r="I151" i="5"/>
  <c r="W150" i="5"/>
  <c r="S150" i="5"/>
  <c r="O150" i="5"/>
  <c r="K150" i="5"/>
  <c r="G150" i="5"/>
  <c r="Y149" i="5"/>
  <c r="U149" i="5"/>
  <c r="Q149" i="5"/>
  <c r="M149" i="5"/>
  <c r="I149" i="5"/>
  <c r="W148" i="5"/>
  <c r="S148" i="5"/>
  <c r="O148" i="5"/>
  <c r="K148" i="5"/>
  <c r="AB155" i="5"/>
  <c r="W155" i="5"/>
  <c r="R155" i="5"/>
  <c r="L155" i="5"/>
  <c r="G155" i="5"/>
  <c r="Z154" i="5"/>
  <c r="U154" i="5"/>
  <c r="P154" i="5"/>
  <c r="J154" i="5"/>
  <c r="X153" i="5"/>
  <c r="S153" i="5"/>
  <c r="N153" i="5"/>
  <c r="H153" i="5"/>
  <c r="AB152" i="5"/>
  <c r="V152" i="5"/>
  <c r="Q152" i="5"/>
  <c r="L152" i="5"/>
  <c r="Z151" i="5"/>
  <c r="T151" i="5"/>
  <c r="O151" i="5"/>
  <c r="J151" i="5"/>
  <c r="X150" i="5"/>
  <c r="R150" i="5"/>
  <c r="M150" i="5"/>
  <c r="H150" i="5"/>
  <c r="V149" i="5"/>
  <c r="P149" i="5"/>
  <c r="K149" i="5"/>
  <c r="Y148" i="5"/>
  <c r="T148" i="5"/>
  <c r="N148" i="5"/>
  <c r="I148" i="5"/>
  <c r="W147" i="5"/>
  <c r="S147" i="5"/>
  <c r="O147" i="5"/>
  <c r="K147" i="5"/>
  <c r="G147" i="5"/>
  <c r="Y146" i="5"/>
  <c r="U146" i="5"/>
  <c r="Q146" i="5"/>
  <c r="M146" i="5"/>
  <c r="I146" i="5"/>
  <c r="W145" i="5"/>
  <c r="S145" i="5"/>
  <c r="O145" i="5"/>
  <c r="K145" i="5"/>
  <c r="Z155" i="5"/>
  <c r="S155" i="5"/>
  <c r="K155" i="5"/>
  <c r="AB154" i="5"/>
  <c r="T154" i="5"/>
  <c r="M154" i="5"/>
  <c r="AB153" i="5"/>
  <c r="V153" i="5"/>
  <c r="O153" i="5"/>
  <c r="G153" i="5"/>
  <c r="X152" i="5"/>
  <c r="P152" i="5"/>
  <c r="I152" i="5"/>
  <c r="X151" i="5"/>
  <c r="R151" i="5"/>
  <c r="K151" i="5"/>
  <c r="T150" i="5"/>
  <c r="L150" i="5"/>
  <c r="T149" i="5"/>
  <c r="N149" i="5"/>
  <c r="G149" i="5"/>
  <c r="V148" i="5"/>
  <c r="P148" i="5"/>
  <c r="H148" i="5"/>
  <c r="V147" i="5"/>
  <c r="Q147" i="5"/>
  <c r="L147" i="5"/>
  <c r="T146" i="5"/>
  <c r="O146" i="5"/>
  <c r="J146" i="5"/>
  <c r="X145" i="5"/>
  <c r="R145" i="5"/>
  <c r="M145" i="5"/>
  <c r="H145" i="5"/>
  <c r="Z144" i="5"/>
  <c r="V144" i="5"/>
  <c r="R144" i="5"/>
  <c r="N144" i="5"/>
  <c r="J144" i="5"/>
  <c r="X155" i="5"/>
  <c r="P155" i="5"/>
  <c r="J155" i="5"/>
  <c r="Y154" i="5"/>
  <c r="R154" i="5"/>
  <c r="L154" i="5"/>
  <c r="AA153" i="5"/>
  <c r="T153" i="5"/>
  <c r="L153" i="5"/>
  <c r="U152" i="5"/>
  <c r="N152" i="5"/>
  <c r="H152" i="5"/>
  <c r="W151" i="5"/>
  <c r="P151" i="5"/>
  <c r="H151" i="5"/>
  <c r="Y150" i="5"/>
  <c r="Q150" i="5"/>
  <c r="J150" i="5"/>
  <c r="Z149" i="5"/>
  <c r="S149" i="5"/>
  <c r="L149" i="5"/>
  <c r="U148" i="5"/>
  <c r="M148" i="5"/>
  <c r="G148" i="5"/>
  <c r="Z147" i="5"/>
  <c r="U147" i="5"/>
  <c r="P147" i="5"/>
  <c r="J147" i="5"/>
  <c r="X146" i="5"/>
  <c r="S146" i="5"/>
  <c r="N146" i="5"/>
  <c r="H146" i="5"/>
  <c r="V145" i="5"/>
  <c r="Q145" i="5"/>
  <c r="L145" i="5"/>
  <c r="G145" i="5"/>
  <c r="Y144" i="5"/>
  <c r="U144" i="5"/>
  <c r="Q144" i="5"/>
  <c r="M144" i="5"/>
  <c r="I144" i="5"/>
  <c r="V155" i="5"/>
  <c r="H155" i="5"/>
  <c r="X154" i="5"/>
  <c r="I154" i="5"/>
  <c r="Z153" i="5"/>
  <c r="K153" i="5"/>
  <c r="Z152" i="5"/>
  <c r="M152" i="5"/>
  <c r="AB151" i="5"/>
  <c r="N151" i="5"/>
  <c r="P150" i="5"/>
  <c r="R149" i="5"/>
  <c r="R148" i="5"/>
  <c r="Y147" i="5"/>
  <c r="N147" i="5"/>
  <c r="W146" i="5"/>
  <c r="L146" i="5"/>
  <c r="U145" i="5"/>
  <c r="J145" i="5"/>
  <c r="X144" i="5"/>
  <c r="P144" i="5"/>
  <c r="H144" i="5"/>
  <c r="T155" i="5"/>
  <c r="V154" i="5"/>
  <c r="H154" i="5"/>
  <c r="W153" i="5"/>
  <c r="J153" i="5"/>
  <c r="Y152" i="5"/>
  <c r="J152" i="5"/>
  <c r="AA151" i="5"/>
  <c r="L151" i="5"/>
  <c r="N150" i="5"/>
  <c r="O149" i="5"/>
  <c r="Q148" i="5"/>
  <c r="X147" i="5"/>
  <c r="M147" i="5"/>
  <c r="V146" i="5"/>
  <c r="K146" i="5"/>
  <c r="T145" i="5"/>
  <c r="I145" i="5"/>
  <c r="W144" i="5"/>
  <c r="O144" i="5"/>
  <c r="G144" i="5"/>
  <c r="G151" i="5"/>
  <c r="I150" i="5"/>
  <c r="J149" i="5"/>
  <c r="L148" i="5"/>
  <c r="T147" i="5"/>
  <c r="G146" i="5"/>
  <c r="P145" i="5"/>
  <c r="AB144" i="5"/>
  <c r="L144" i="5"/>
  <c r="AA155" i="5"/>
  <c r="H149" i="5"/>
  <c r="J148" i="5"/>
  <c r="R147" i="5"/>
  <c r="N145" i="5"/>
  <c r="AA144" i="5"/>
  <c r="K144" i="5"/>
  <c r="O155" i="5"/>
  <c r="Q154" i="5"/>
  <c r="R153" i="5"/>
  <c r="T152" i="5"/>
  <c r="V151" i="5"/>
  <c r="V150" i="5"/>
  <c r="X149" i="5"/>
  <c r="I147" i="5"/>
  <c r="R146" i="5"/>
  <c r="Z145" i="5"/>
  <c r="T144" i="5"/>
  <c r="N155" i="5"/>
  <c r="N154" i="5"/>
  <c r="P153" i="5"/>
  <c r="R152" i="5"/>
  <c r="S151" i="5"/>
  <c r="U150" i="5"/>
  <c r="W149" i="5"/>
  <c r="X148" i="5"/>
  <c r="H147" i="5"/>
  <c r="P146" i="5"/>
  <c r="Y145" i="5"/>
  <c r="S144" i="5"/>
  <c r="B72" i="5"/>
  <c r="B105" i="5" s="1"/>
  <c r="B360" i="4"/>
  <c r="B313" i="4"/>
  <c r="B236" i="4"/>
  <c r="B221" i="4"/>
  <c r="B127" i="4"/>
  <c r="B375" i="4"/>
  <c r="B189" i="4"/>
  <c r="B251" i="4"/>
  <c r="B345" i="4"/>
  <c r="B24" i="11"/>
  <c r="B31" i="5"/>
  <c r="B46" i="5"/>
  <c r="B159" i="4"/>
  <c r="B174" i="4"/>
  <c r="G13" i="6"/>
  <c r="B170" i="5" l="1"/>
  <c r="B230" i="5"/>
  <c r="B200" i="5"/>
  <c r="B215" i="5"/>
  <c r="B185" i="5"/>
  <c r="B38" i="4"/>
  <c r="B81" i="5" s="1"/>
  <c r="B114" i="5" s="1"/>
  <c r="B39" i="4"/>
  <c r="B82" i="5" s="1"/>
  <c r="B115" i="5" s="1"/>
  <c r="B41" i="4"/>
  <c r="B84" i="5" s="1"/>
  <c r="B117" i="5" s="1"/>
  <c r="B40" i="4"/>
  <c r="B83" i="5" s="1"/>
  <c r="B116" i="5" s="1"/>
  <c r="F77" i="5"/>
  <c r="F65" i="5"/>
  <c r="F110" i="5"/>
  <c r="F66" i="5"/>
  <c r="F74" i="5"/>
  <c r="F63" i="5"/>
  <c r="F71" i="5"/>
  <c r="F89" i="5"/>
  <c r="F64" i="5"/>
  <c r="F72" i="5"/>
  <c r="F91" i="5"/>
  <c r="F80" i="5"/>
  <c r="F88" i="5"/>
  <c r="F102" i="5"/>
  <c r="F104" i="5"/>
  <c r="F118" i="5"/>
  <c r="F116" i="5"/>
  <c r="F101" i="5"/>
  <c r="F114" i="5"/>
  <c r="F109" i="5"/>
  <c r="F117" i="5"/>
  <c r="F123" i="5"/>
  <c r="F124" i="5"/>
  <c r="F85" i="5"/>
  <c r="F87" i="5"/>
  <c r="F78" i="5"/>
  <c r="F86" i="5"/>
  <c r="F100" i="5"/>
  <c r="F99" i="5"/>
  <c r="F105" i="5"/>
  <c r="F115" i="5"/>
  <c r="F121" i="5"/>
  <c r="F122" i="5"/>
  <c r="F69" i="5"/>
  <c r="F70" i="5"/>
  <c r="F67" i="5"/>
  <c r="F75" i="5"/>
  <c r="F81" i="5"/>
  <c r="F68" i="5"/>
  <c r="F76" i="5"/>
  <c r="F83" i="5"/>
  <c r="F84" i="5"/>
  <c r="F92" i="5"/>
  <c r="F107" i="5"/>
  <c r="F98" i="5"/>
  <c r="F97" i="5"/>
  <c r="F112" i="5"/>
  <c r="F113" i="5"/>
  <c r="F120" i="5"/>
  <c r="F73" i="5"/>
  <c r="F79" i="5"/>
  <c r="F82" i="5"/>
  <c r="F90" i="5"/>
  <c r="F96" i="5"/>
  <c r="F108" i="5"/>
  <c r="F103" i="5"/>
  <c r="F106" i="5"/>
  <c r="F111" i="5"/>
  <c r="F119" i="5"/>
  <c r="F125" i="5"/>
  <c r="AQ69" i="5"/>
  <c r="AQ86" i="5"/>
  <c r="AQ111" i="5"/>
  <c r="AQ96" i="5"/>
  <c r="AQ98" i="5"/>
  <c r="AQ106" i="5"/>
  <c r="AQ114" i="5"/>
  <c r="AQ122" i="5"/>
  <c r="AQ74" i="5"/>
  <c r="AQ78" i="5"/>
  <c r="AQ90" i="5"/>
  <c r="AQ82" i="5"/>
  <c r="AQ67" i="5"/>
  <c r="AQ107" i="5"/>
  <c r="AQ125" i="5"/>
  <c r="AQ104" i="5"/>
  <c r="AQ105" i="5"/>
  <c r="AQ112" i="5"/>
  <c r="AQ113" i="5"/>
  <c r="AQ120" i="5"/>
  <c r="AQ121" i="5"/>
  <c r="AQ85" i="5"/>
  <c r="AQ80" i="5"/>
  <c r="AQ77" i="5"/>
  <c r="AQ65" i="5"/>
  <c r="AQ72" i="5"/>
  <c r="AQ68" i="5"/>
  <c r="AQ73" i="5"/>
  <c r="AQ64" i="5"/>
  <c r="AQ75" i="5"/>
  <c r="AQ103" i="5"/>
  <c r="AQ119" i="5"/>
  <c r="AQ102" i="5"/>
  <c r="AQ110" i="5"/>
  <c r="AQ118" i="5"/>
  <c r="AQ79" i="5"/>
  <c r="AQ71" i="5"/>
  <c r="AQ88" i="5"/>
  <c r="AQ66" i="5"/>
  <c r="AQ76" i="5"/>
  <c r="AQ81" i="5"/>
  <c r="AQ83" i="5"/>
  <c r="AQ97" i="5"/>
  <c r="AQ101" i="5"/>
  <c r="AQ99" i="5"/>
  <c r="AQ115" i="5"/>
  <c r="AQ123" i="5"/>
  <c r="AQ100" i="5"/>
  <c r="AQ108" i="5"/>
  <c r="AQ109" i="5"/>
  <c r="AQ116" i="5"/>
  <c r="AQ117" i="5"/>
  <c r="AQ124" i="5"/>
  <c r="AQ70" i="5"/>
  <c r="AQ63" i="5"/>
  <c r="AQ87" i="5"/>
  <c r="AQ84" i="5"/>
  <c r="AQ89" i="5"/>
  <c r="AQ91" i="5"/>
  <c r="AQ92" i="5"/>
  <c r="B73" i="5"/>
  <c r="B106" i="5" s="1"/>
  <c r="B237" i="4"/>
  <c r="B190" i="4"/>
  <c r="B128" i="4"/>
  <c r="B376" i="4"/>
  <c r="B252" i="4"/>
  <c r="B346" i="4"/>
  <c r="B361" i="4"/>
  <c r="B222" i="4"/>
  <c r="B314" i="4"/>
  <c r="B25" i="11"/>
  <c r="B47" i="5"/>
  <c r="B32" i="5"/>
  <c r="B160" i="4"/>
  <c r="B175" i="4"/>
  <c r="B1" i="6"/>
  <c r="B174" i="5"/>
  <c r="B219" i="5"/>
  <c r="B159" i="5"/>
  <c r="B204" i="5"/>
  <c r="B189" i="5"/>
  <c r="E128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B142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F95" i="5"/>
  <c r="AQ95" i="5" s="1"/>
  <c r="B13" i="6"/>
  <c r="G14" i="6"/>
  <c r="E62" i="5"/>
  <c r="C62" i="5"/>
  <c r="B62" i="5"/>
  <c r="B12" i="6"/>
  <c r="B13" i="4"/>
  <c r="B1" i="5"/>
  <c r="L32" i="4" l="1"/>
  <c r="AM75" i="5" s="1"/>
  <c r="AM108" i="5" s="1"/>
  <c r="L33" i="4"/>
  <c r="AM76" i="5" s="1"/>
  <c r="AM109" i="5" s="1"/>
  <c r="L35" i="4"/>
  <c r="AM78" i="5" s="1"/>
  <c r="AM111" i="5" s="1"/>
  <c r="L34" i="4"/>
  <c r="AM77" i="5" s="1"/>
  <c r="AM110" i="5" s="1"/>
  <c r="B231" i="5"/>
  <c r="B216" i="5"/>
  <c r="B186" i="5"/>
  <c r="B201" i="5"/>
  <c r="B171" i="5"/>
  <c r="B44" i="4"/>
  <c r="B87" i="5" s="1"/>
  <c r="B120" i="5" s="1"/>
  <c r="B42" i="4"/>
  <c r="B85" i="5" s="1"/>
  <c r="B118" i="5" s="1"/>
  <c r="B43" i="4"/>
  <c r="B86" i="5" s="1"/>
  <c r="B119" i="5" s="1"/>
  <c r="B45" i="4"/>
  <c r="B88" i="5" s="1"/>
  <c r="B121" i="5" s="1"/>
  <c r="B95" i="5"/>
  <c r="AM95" i="5" s="1"/>
  <c r="AM62" i="5"/>
  <c r="C95" i="5"/>
  <c r="AN62" i="5"/>
  <c r="E95" i="5"/>
  <c r="AP95" i="5" s="1"/>
  <c r="AP62" i="5"/>
  <c r="Z148" i="5"/>
  <c r="AA149" i="5"/>
  <c r="AA145" i="5"/>
  <c r="AA147" i="5"/>
  <c r="AD155" i="5"/>
  <c r="Z146" i="5"/>
  <c r="AC152" i="5"/>
  <c r="AC144" i="5"/>
  <c r="AC154" i="5"/>
  <c r="Z150" i="5"/>
  <c r="AD153" i="5"/>
  <c r="AD151" i="5"/>
  <c r="B74" i="5"/>
  <c r="B107" i="5" s="1"/>
  <c r="B362" i="4"/>
  <c r="B315" i="4"/>
  <c r="B238" i="4"/>
  <c r="B223" i="4"/>
  <c r="B129" i="4"/>
  <c r="B347" i="4"/>
  <c r="B377" i="4"/>
  <c r="B253" i="4"/>
  <c r="B191" i="4"/>
  <c r="B26" i="11"/>
  <c r="B33" i="5"/>
  <c r="B48" i="5"/>
  <c r="B176" i="4"/>
  <c r="B161" i="4"/>
  <c r="B63" i="5"/>
  <c r="B96" i="5" s="1"/>
  <c r="B14" i="6"/>
  <c r="B130" i="5"/>
  <c r="B144" i="5"/>
  <c r="B129" i="5"/>
  <c r="B145" i="5"/>
  <c r="B8" i="5"/>
  <c r="B9" i="5"/>
  <c r="B172" i="5" l="1"/>
  <c r="B232" i="5"/>
  <c r="B217" i="5"/>
  <c r="B187" i="5"/>
  <c r="B202" i="5"/>
  <c r="B46" i="4"/>
  <c r="B89" i="5" s="1"/>
  <c r="B122" i="5" s="1"/>
  <c r="B47" i="4"/>
  <c r="B90" i="5" s="1"/>
  <c r="B123" i="5" s="1"/>
  <c r="B48" i="4"/>
  <c r="B91" i="5" s="1"/>
  <c r="B124" i="5" s="1"/>
  <c r="B49" i="4"/>
  <c r="B92" i="5" s="1"/>
  <c r="B125" i="5" s="1"/>
  <c r="AN95" i="5"/>
  <c r="AG139" i="5"/>
  <c r="N134" i="5"/>
  <c r="AA150" i="5"/>
  <c r="AA146" i="5"/>
  <c r="AB149" i="5"/>
  <c r="AE153" i="5"/>
  <c r="AD152" i="5"/>
  <c r="AB145" i="5"/>
  <c r="AE151" i="5"/>
  <c r="AD144" i="5"/>
  <c r="AB147" i="5"/>
  <c r="AD154" i="5"/>
  <c r="AE155" i="5"/>
  <c r="AA148" i="5"/>
  <c r="B75" i="5"/>
  <c r="B108" i="5" s="1"/>
  <c r="B239" i="4"/>
  <c r="B192" i="4"/>
  <c r="B130" i="4"/>
  <c r="B363" i="4"/>
  <c r="B316" i="4"/>
  <c r="B378" i="4"/>
  <c r="B254" i="4"/>
  <c r="B348" i="4"/>
  <c r="B224" i="4"/>
  <c r="B49" i="5"/>
  <c r="B34" i="5"/>
  <c r="B162" i="4"/>
  <c r="B177" i="4"/>
  <c r="AC130" i="5" l="1"/>
  <c r="T130" i="5"/>
  <c r="AB139" i="5"/>
  <c r="AJ139" i="5"/>
  <c r="H138" i="5"/>
  <c r="AJ129" i="5"/>
  <c r="Z138" i="5"/>
  <c r="P131" i="5"/>
  <c r="T134" i="5"/>
  <c r="I136" i="5"/>
  <c r="AI129" i="5"/>
  <c r="L130" i="5"/>
  <c r="X129" i="5"/>
  <c r="Y139" i="5"/>
  <c r="AA130" i="5"/>
  <c r="X140" i="5"/>
  <c r="P138" i="5"/>
  <c r="H140" i="5"/>
  <c r="AC134" i="5"/>
  <c r="P129" i="5"/>
  <c r="H134" i="5"/>
  <c r="AF136" i="5"/>
  <c r="AB131" i="5"/>
  <c r="V140" i="5"/>
  <c r="R129" i="5"/>
  <c r="H130" i="5"/>
  <c r="I130" i="5"/>
  <c r="S134" i="5"/>
  <c r="N138" i="5"/>
  <c r="G138" i="5"/>
  <c r="I139" i="5"/>
  <c r="AH139" i="5"/>
  <c r="AE139" i="5"/>
  <c r="AH132" i="5"/>
  <c r="AH133" i="5"/>
  <c r="G135" i="5"/>
  <c r="Y134" i="5"/>
  <c r="AF138" i="5"/>
  <c r="AG138" i="5"/>
  <c r="AF133" i="5"/>
  <c r="AF129" i="5"/>
  <c r="O131" i="5"/>
  <c r="H131" i="5"/>
  <c r="Z130" i="5"/>
  <c r="AH134" i="5"/>
  <c r="W138" i="5"/>
  <c r="V135" i="5"/>
  <c r="M133" i="5"/>
  <c r="N130" i="5"/>
  <c r="W129" i="5"/>
  <c r="X130" i="5"/>
  <c r="AB134" i="5"/>
  <c r="V138" i="5"/>
  <c r="J138" i="5"/>
  <c r="I134" i="5"/>
  <c r="AI130" i="5"/>
  <c r="P135" i="5"/>
  <c r="R139" i="5"/>
  <c r="AG136" i="5"/>
  <c r="N136" i="5"/>
  <c r="J130" i="5"/>
  <c r="P134" i="5"/>
  <c r="AD138" i="5"/>
  <c r="N135" i="5"/>
  <c r="AC139" i="5"/>
  <c r="AH131" i="5"/>
  <c r="X136" i="5"/>
  <c r="T135" i="5"/>
  <c r="AJ133" i="5"/>
  <c r="L137" i="5"/>
  <c r="U130" i="5"/>
  <c r="U134" i="5"/>
  <c r="M134" i="5"/>
  <c r="H129" i="5"/>
  <c r="AD139" i="5"/>
  <c r="S136" i="5"/>
  <c r="AC133" i="5"/>
  <c r="T133" i="5"/>
  <c r="AB130" i="5"/>
  <c r="AF130" i="5"/>
  <c r="L134" i="5"/>
  <c r="AJ134" i="5"/>
  <c r="AB138" i="5"/>
  <c r="Y138" i="5"/>
  <c r="R138" i="5"/>
  <c r="J139" i="5"/>
  <c r="S135" i="5"/>
  <c r="AF140" i="5"/>
  <c r="L135" i="5"/>
  <c r="M130" i="5"/>
  <c r="AE134" i="5"/>
  <c r="L138" i="5"/>
  <c r="L139" i="5"/>
  <c r="AJ140" i="5"/>
  <c r="K129" i="5"/>
  <c r="AE135" i="5"/>
  <c r="K139" i="5"/>
  <c r="Z132" i="5"/>
  <c r="AJ130" i="5"/>
  <c r="T138" i="5"/>
  <c r="Z136" i="5"/>
  <c r="AC131" i="5"/>
  <c r="K136" i="5"/>
  <c r="X133" i="5"/>
  <c r="V133" i="5"/>
  <c r="V129" i="5"/>
  <c r="W133" i="5"/>
  <c r="AG129" i="5"/>
  <c r="M132" i="5"/>
  <c r="W140" i="5"/>
  <c r="M131" i="5"/>
  <c r="AD130" i="5"/>
  <c r="K134" i="5"/>
  <c r="O134" i="5"/>
  <c r="I138" i="5"/>
  <c r="G130" i="5"/>
  <c r="AI135" i="5"/>
  <c r="Y135" i="5"/>
  <c r="O140" i="5"/>
  <c r="O132" i="5"/>
  <c r="AB135" i="5"/>
  <c r="I132" i="5"/>
  <c r="N131" i="5"/>
  <c r="Z133" i="5"/>
  <c r="K130" i="5"/>
  <c r="V134" i="5"/>
  <c r="J134" i="5"/>
  <c r="M138" i="5"/>
  <c r="AE138" i="5"/>
  <c r="U138" i="5"/>
  <c r="N133" i="5"/>
  <c r="AE129" i="5"/>
  <c r="T129" i="5"/>
  <c r="V136" i="5"/>
  <c r="K133" i="5"/>
  <c r="V132" i="5"/>
  <c r="AF139" i="5"/>
  <c r="AC129" i="5"/>
  <c r="AG134" i="5"/>
  <c r="J140" i="5"/>
  <c r="G136" i="5"/>
  <c r="AJ132" i="5"/>
  <c r="AH137" i="5"/>
  <c r="L129" i="5"/>
  <c r="I137" i="5"/>
  <c r="H135" i="5"/>
  <c r="AD136" i="5"/>
  <c r="I140" i="5"/>
  <c r="AE136" i="5"/>
  <c r="Q132" i="5"/>
  <c r="L131" i="5"/>
  <c r="AC132" i="5"/>
  <c r="I133" i="5"/>
  <c r="AA131" i="5"/>
  <c r="T139" i="5"/>
  <c r="AG137" i="5"/>
  <c r="I131" i="5"/>
  <c r="Q130" i="5"/>
  <c r="P130" i="5"/>
  <c r="X134" i="5"/>
  <c r="O138" i="5"/>
  <c r="AJ138" i="5"/>
  <c r="H132" i="5"/>
  <c r="M135" i="5"/>
  <c r="AI137" i="5"/>
  <c r="AJ135" i="5"/>
  <c r="W139" i="5"/>
  <c r="AG135" i="5"/>
  <c r="Q139" i="5"/>
  <c r="K135" i="5"/>
  <c r="H136" i="5"/>
  <c r="AB133" i="5"/>
  <c r="R130" i="5"/>
  <c r="AI134" i="5"/>
  <c r="AF134" i="5"/>
  <c r="AC138" i="5"/>
  <c r="Q133" i="5"/>
  <c r="J135" i="5"/>
  <c r="W130" i="5"/>
  <c r="W137" i="5"/>
  <c r="P137" i="5"/>
  <c r="U136" i="5"/>
  <c r="AI140" i="5"/>
  <c r="R136" i="5"/>
  <c r="AG140" i="5"/>
  <c r="J131" i="5"/>
  <c r="AC140" i="5"/>
  <c r="AD133" i="5"/>
  <c r="AC137" i="5"/>
  <c r="AC136" i="5"/>
  <c r="J132" i="5"/>
  <c r="AG132" i="5"/>
  <c r="AD137" i="5"/>
  <c r="S133" i="5"/>
  <c r="H137" i="5"/>
  <c r="AI139" i="5"/>
  <c r="I129" i="5"/>
  <c r="J136" i="5"/>
  <c r="U132" i="5"/>
  <c r="AJ136" i="5"/>
  <c r="N137" i="5"/>
  <c r="U137" i="5"/>
  <c r="Z139" i="5"/>
  <c r="AH129" i="5"/>
  <c r="T136" i="5"/>
  <c r="Z135" i="5"/>
  <c r="U129" i="5"/>
  <c r="AH135" i="5"/>
  <c r="G131" i="5"/>
  <c r="Z129" i="5"/>
  <c r="AB140" i="5"/>
  <c r="S129" i="5"/>
  <c r="R140" i="5"/>
  <c r="R137" i="5"/>
  <c r="U140" i="5"/>
  <c r="AB132" i="5"/>
  <c r="R133" i="5"/>
  <c r="AA132" i="5"/>
  <c r="T132" i="5"/>
  <c r="AH140" i="5"/>
  <c r="N140" i="5"/>
  <c r="Y132" i="5"/>
  <c r="O129" i="5"/>
  <c r="AI136" i="5"/>
  <c r="J129" i="5"/>
  <c r="S130" i="5"/>
  <c r="W132" i="5"/>
  <c r="H133" i="5"/>
  <c r="T131" i="5"/>
  <c r="J137" i="5"/>
  <c r="M136" i="5"/>
  <c r="W136" i="5"/>
  <c r="AD129" i="5"/>
  <c r="AI133" i="5"/>
  <c r="AH136" i="5"/>
  <c r="K132" i="5"/>
  <c r="AF132" i="5"/>
  <c r="Y140" i="5"/>
  <c r="AA129" i="5"/>
  <c r="M137" i="5"/>
  <c r="V130" i="5"/>
  <c r="Q131" i="5"/>
  <c r="S140" i="5"/>
  <c r="V137" i="5"/>
  <c r="AE137" i="5"/>
  <c r="O136" i="5"/>
  <c r="AE132" i="5"/>
  <c r="S131" i="5"/>
  <c r="K140" i="5"/>
  <c r="Q140" i="5"/>
  <c r="AA140" i="5"/>
  <c r="AD132" i="5"/>
  <c r="G137" i="5"/>
  <c r="G140" i="5"/>
  <c r="M140" i="5"/>
  <c r="Z140" i="5"/>
  <c r="S139" i="5"/>
  <c r="G129" i="5"/>
  <c r="O130" i="5"/>
  <c r="G134" i="5"/>
  <c r="AH130" i="5"/>
  <c r="Q134" i="5"/>
  <c r="W134" i="5"/>
  <c r="Q138" i="5"/>
  <c r="AD134" i="5"/>
  <c r="Z137" i="5"/>
  <c r="AJ131" i="5"/>
  <c r="AA133" i="5"/>
  <c r="AG133" i="5"/>
  <c r="J133" i="5"/>
  <c r="P133" i="5"/>
  <c r="AB137" i="5"/>
  <c r="R132" i="5"/>
  <c r="L136" i="5"/>
  <c r="K131" i="5"/>
  <c r="P139" i="5"/>
  <c r="U135" i="5"/>
  <c r="P140" i="5"/>
  <c r="O133" i="5"/>
  <c r="AA136" i="5"/>
  <c r="AE131" i="5"/>
  <c r="Q135" i="5"/>
  <c r="AA139" i="5"/>
  <c r="AD140" i="5"/>
  <c r="AA137" i="5"/>
  <c r="U139" i="5"/>
  <c r="L132" i="5"/>
  <c r="M129" i="5"/>
  <c r="L140" i="5"/>
  <c r="AF137" i="5"/>
  <c r="N139" i="5"/>
  <c r="O139" i="5"/>
  <c r="Q137" i="5"/>
  <c r="AF135" i="5"/>
  <c r="Y131" i="5"/>
  <c r="W131" i="5"/>
  <c r="V131" i="5"/>
  <c r="U133" i="5"/>
  <c r="Y129" i="5"/>
  <c r="K137" i="5"/>
  <c r="AE133" i="5"/>
  <c r="W135" i="5"/>
  <c r="AD131" i="5"/>
  <c r="AB129" i="5"/>
  <c r="AB136" i="5"/>
  <c r="P132" i="5"/>
  <c r="I135" i="5"/>
  <c r="U131" i="5"/>
  <c r="R135" i="5"/>
  <c r="AD135" i="5"/>
  <c r="P136" i="5"/>
  <c r="AG131" i="5"/>
  <c r="Y136" i="5"/>
  <c r="S132" i="5"/>
  <c r="G139" i="5"/>
  <c r="AJ137" i="5"/>
  <c r="N129" i="5"/>
  <c r="AI132" i="5"/>
  <c r="N132" i="5"/>
  <c r="AA135" i="5"/>
  <c r="O135" i="5"/>
  <c r="AC135" i="5"/>
  <c r="H139" i="5"/>
  <c r="L133" i="5"/>
  <c r="Q136" i="5"/>
  <c r="X132" i="5"/>
  <c r="X131" i="5"/>
  <c r="X135" i="5"/>
  <c r="R131" i="5"/>
  <c r="M139" i="5"/>
  <c r="S137" i="5"/>
  <c r="Y137" i="5"/>
  <c r="X137" i="5"/>
  <c r="V139" i="5"/>
  <c r="T140" i="5"/>
  <c r="G133" i="5"/>
  <c r="Z131" i="5"/>
  <c r="Q129" i="5"/>
  <c r="AF131" i="5"/>
  <c r="AG130" i="5"/>
  <c r="AA134" i="5"/>
  <c r="K138" i="5"/>
  <c r="AH138" i="5"/>
  <c r="AI131" i="5"/>
  <c r="X139" i="5"/>
  <c r="O137" i="5"/>
  <c r="R134" i="5"/>
  <c r="AA138" i="5"/>
  <c r="X138" i="5"/>
  <c r="AE140" i="5"/>
  <c r="Y133" i="5"/>
  <c r="AI138" i="5"/>
  <c r="S138" i="5"/>
  <c r="AE130" i="5"/>
  <c r="Z134" i="5"/>
  <c r="T137" i="5"/>
  <c r="G132" i="5"/>
  <c r="Y130" i="5"/>
  <c r="AB148" i="5"/>
  <c r="AF155" i="5"/>
  <c r="AE154" i="5"/>
  <c r="AC149" i="5"/>
  <c r="AB146" i="5"/>
  <c r="AB150" i="5"/>
  <c r="AC147" i="5"/>
  <c r="AE144" i="5"/>
  <c r="AF151" i="5"/>
  <c r="AC145" i="5"/>
  <c r="AE152" i="5"/>
  <c r="AF153" i="5"/>
  <c r="B146" i="5"/>
  <c r="B10" i="5"/>
  <c r="B131" i="5"/>
  <c r="F132" i="5" l="1"/>
  <c r="F131" i="5"/>
  <c r="F138" i="5"/>
  <c r="F140" i="5"/>
  <c r="F136" i="5"/>
  <c r="F135" i="5"/>
  <c r="F137" i="5"/>
  <c r="F129" i="5"/>
  <c r="F130" i="5"/>
  <c r="F134" i="5"/>
  <c r="F139" i="5"/>
  <c r="F133" i="5"/>
  <c r="AD145" i="5"/>
  <c r="AF152" i="5"/>
  <c r="AD147" i="5"/>
  <c r="AF154" i="5"/>
  <c r="AG153" i="5"/>
  <c r="AF144" i="5"/>
  <c r="AD149" i="5"/>
  <c r="AG151" i="5"/>
  <c r="AC146" i="5"/>
  <c r="AC148" i="5"/>
  <c r="AC150" i="5"/>
  <c r="AG155" i="5"/>
  <c r="B132" i="5"/>
  <c r="B147" i="5"/>
  <c r="B11" i="5"/>
  <c r="AH151" i="5" l="1"/>
  <c r="AD146" i="5"/>
  <c r="AE149" i="5"/>
  <c r="AG144" i="5"/>
  <c r="AH153" i="5"/>
  <c r="AG154" i="5"/>
  <c r="AE147" i="5"/>
  <c r="AD148" i="5"/>
  <c r="AE145" i="5"/>
  <c r="AH155" i="5"/>
  <c r="AD150" i="5"/>
  <c r="AG152" i="5"/>
  <c r="G8" i="5"/>
  <c r="G13" i="5"/>
  <c r="G14" i="5"/>
  <c r="G19" i="5"/>
  <c r="G12" i="5"/>
  <c r="G15" i="5"/>
  <c r="G10" i="5"/>
  <c r="G16" i="5"/>
  <c r="G9" i="5"/>
  <c r="G11" i="5"/>
  <c r="G17" i="5"/>
  <c r="G18" i="5"/>
  <c r="G39" i="5"/>
  <c r="G42" i="5"/>
  <c r="G38" i="5"/>
  <c r="G47" i="5"/>
  <c r="G48" i="5"/>
  <c r="G41" i="5"/>
  <c r="G49" i="5"/>
  <c r="G43" i="5"/>
  <c r="G44" i="5"/>
  <c r="G45" i="5"/>
  <c r="G40" i="5"/>
  <c r="G46" i="5"/>
  <c r="B133" i="5"/>
  <c r="B12" i="5"/>
  <c r="B148" i="5"/>
  <c r="AF145" i="5" l="1"/>
  <c r="AI153" i="5"/>
  <c r="AI151" i="5"/>
  <c r="AH152" i="5"/>
  <c r="AI155" i="5"/>
  <c r="AH154" i="5"/>
  <c r="AE146" i="5"/>
  <c r="AE150" i="5"/>
  <c r="AF147" i="5"/>
  <c r="AF149" i="5"/>
  <c r="AE148" i="5"/>
  <c r="AH144" i="5"/>
  <c r="I11" i="5"/>
  <c r="I17" i="5"/>
  <c r="H11" i="5"/>
  <c r="H9" i="5"/>
  <c r="H17" i="5"/>
  <c r="I9" i="5"/>
  <c r="I13" i="5"/>
  <c r="I19" i="5"/>
  <c r="H13" i="5"/>
  <c r="H8" i="5"/>
  <c r="H16" i="5"/>
  <c r="H18" i="5"/>
  <c r="I10" i="5"/>
  <c r="I15" i="5"/>
  <c r="H14" i="5"/>
  <c r="H19" i="5"/>
  <c r="H15" i="5"/>
  <c r="I12" i="5"/>
  <c r="I16" i="5"/>
  <c r="I18" i="5"/>
  <c r="I14" i="5"/>
  <c r="H10" i="5"/>
  <c r="H12" i="5"/>
  <c r="H41" i="5"/>
  <c r="H40" i="5"/>
  <c r="I43" i="5"/>
  <c r="H39" i="5"/>
  <c r="H42" i="5"/>
  <c r="I42" i="5"/>
  <c r="H38" i="5"/>
  <c r="H44" i="5"/>
  <c r="I49" i="5"/>
  <c r="I45" i="5"/>
  <c r="H48" i="5"/>
  <c r="I47" i="5"/>
  <c r="H47" i="5"/>
  <c r="H45" i="5"/>
  <c r="I41" i="5"/>
  <c r="H49" i="5"/>
  <c r="H43" i="5"/>
  <c r="I40" i="5"/>
  <c r="H46" i="5"/>
  <c r="I44" i="5"/>
  <c r="I48" i="5"/>
  <c r="I46" i="5"/>
  <c r="I39" i="5"/>
  <c r="B134" i="5"/>
  <c r="B149" i="5"/>
  <c r="B13" i="5"/>
  <c r="AF146" i="5" l="1"/>
  <c r="AJ151" i="5"/>
  <c r="AJ153" i="5"/>
  <c r="AF150" i="5"/>
  <c r="AI152" i="5"/>
  <c r="AF148" i="5"/>
  <c r="AG149" i="5"/>
  <c r="AG147" i="5"/>
  <c r="AJ155" i="5"/>
  <c r="AI144" i="5"/>
  <c r="AI154" i="5"/>
  <c r="AG145" i="5"/>
  <c r="J12" i="5"/>
  <c r="J11" i="5"/>
  <c r="J19" i="5"/>
  <c r="J16" i="5"/>
  <c r="J18" i="5"/>
  <c r="J17" i="5"/>
  <c r="J13" i="5"/>
  <c r="J14" i="5"/>
  <c r="J15" i="5"/>
  <c r="J10" i="5"/>
  <c r="J9" i="5"/>
  <c r="J43" i="5"/>
  <c r="J45" i="5"/>
  <c r="J46" i="5"/>
  <c r="J48" i="5"/>
  <c r="J41" i="5"/>
  <c r="J42" i="5"/>
  <c r="J49" i="5"/>
  <c r="J44" i="5"/>
  <c r="J47" i="5"/>
  <c r="J39" i="5"/>
  <c r="J40" i="5"/>
  <c r="B150" i="5"/>
  <c r="B135" i="5"/>
  <c r="B14" i="5"/>
  <c r="F153" i="5" l="1"/>
  <c r="F155" i="5"/>
  <c r="F151" i="5"/>
  <c r="AG148" i="5"/>
  <c r="AJ144" i="5"/>
  <c r="AH149" i="5"/>
  <c r="AJ154" i="5"/>
  <c r="AH147" i="5"/>
  <c r="AG150" i="5"/>
  <c r="AH145" i="5"/>
  <c r="AJ152" i="5"/>
  <c r="AG146" i="5"/>
  <c r="K16" i="5"/>
  <c r="K13" i="5"/>
  <c r="K14" i="5"/>
  <c r="K18" i="5"/>
  <c r="K11" i="5"/>
  <c r="K19" i="5"/>
  <c r="K12" i="5"/>
  <c r="K15" i="5"/>
  <c r="K17" i="5"/>
  <c r="K9" i="5"/>
  <c r="K10" i="5"/>
  <c r="K41" i="5"/>
  <c r="K44" i="5"/>
  <c r="K47" i="5"/>
  <c r="K46" i="5"/>
  <c r="K45" i="5"/>
  <c r="K43" i="5"/>
  <c r="K49" i="5"/>
  <c r="K42" i="5"/>
  <c r="K48" i="5"/>
  <c r="K40" i="5"/>
  <c r="K39" i="5"/>
  <c r="B282" i="4"/>
  <c r="B297" i="4"/>
  <c r="B111" i="4"/>
  <c r="B96" i="4"/>
  <c r="B81" i="4"/>
  <c r="B136" i="5"/>
  <c r="B205" i="4"/>
  <c r="B151" i="5"/>
  <c r="B143" i="4"/>
  <c r="B267" i="4"/>
  <c r="B329" i="4"/>
  <c r="B62" i="4"/>
  <c r="B15" i="5"/>
  <c r="F144" i="5" l="1"/>
  <c r="F154" i="5"/>
  <c r="F152" i="5"/>
  <c r="AI147" i="5"/>
  <c r="AH146" i="5"/>
  <c r="AH150" i="5"/>
  <c r="AI149" i="5"/>
  <c r="AI145" i="5"/>
  <c r="AH148" i="5"/>
  <c r="L10" i="5"/>
  <c r="L17" i="5"/>
  <c r="L19" i="5"/>
  <c r="L11" i="5"/>
  <c r="L18" i="5"/>
  <c r="L13" i="5"/>
  <c r="L14" i="5"/>
  <c r="L9" i="5"/>
  <c r="L16" i="5"/>
  <c r="L15" i="5"/>
  <c r="L12" i="5"/>
  <c r="L39" i="5"/>
  <c r="L42" i="5"/>
  <c r="L40" i="5"/>
  <c r="L47" i="5"/>
  <c r="L45" i="5"/>
  <c r="L48" i="5"/>
  <c r="L43" i="5"/>
  <c r="L41" i="5"/>
  <c r="L49" i="5"/>
  <c r="L44" i="5"/>
  <c r="L46" i="5"/>
  <c r="B298" i="4"/>
  <c r="B283" i="4"/>
  <c r="B97" i="4"/>
  <c r="B112" i="4"/>
  <c r="B268" i="4"/>
  <c r="B152" i="5"/>
  <c r="B206" i="4"/>
  <c r="B137" i="5"/>
  <c r="B330" i="4"/>
  <c r="B16" i="5"/>
  <c r="B63" i="4"/>
  <c r="B82" i="4"/>
  <c r="B144" i="4"/>
  <c r="AI146" i="5" l="1"/>
  <c r="AI150" i="5"/>
  <c r="AI148" i="5"/>
  <c r="AJ149" i="5"/>
  <c r="AJ145" i="5"/>
  <c r="AJ147" i="5"/>
  <c r="M15" i="5"/>
  <c r="M12" i="5"/>
  <c r="M17" i="5"/>
  <c r="M9" i="5"/>
  <c r="M19" i="5"/>
  <c r="M18" i="5"/>
  <c r="M10" i="5"/>
  <c r="M13" i="5"/>
  <c r="M16" i="5"/>
  <c r="M14" i="5"/>
  <c r="M11" i="5"/>
  <c r="M40" i="5"/>
  <c r="M41" i="5"/>
  <c r="M42" i="5"/>
  <c r="M49" i="5"/>
  <c r="M48" i="5"/>
  <c r="M46" i="5"/>
  <c r="M45" i="5"/>
  <c r="M47" i="5"/>
  <c r="M44" i="5"/>
  <c r="M43" i="5"/>
  <c r="M39" i="5"/>
  <c r="B284" i="4"/>
  <c r="B299" i="4"/>
  <c r="B113" i="4"/>
  <c r="B98" i="4"/>
  <c r="B331" i="4"/>
  <c r="B138" i="5"/>
  <c r="B83" i="4"/>
  <c r="B207" i="4"/>
  <c r="B145" i="4"/>
  <c r="B64" i="4"/>
  <c r="B153" i="5"/>
  <c r="B269" i="4"/>
  <c r="B17" i="5"/>
  <c r="F145" i="5" l="1"/>
  <c r="F147" i="5"/>
  <c r="F149" i="5"/>
  <c r="AJ150" i="5"/>
  <c r="AJ148" i="5"/>
  <c r="AJ146" i="5"/>
  <c r="N13" i="5"/>
  <c r="N16" i="5"/>
  <c r="N17" i="5"/>
  <c r="N14" i="5"/>
  <c r="N11" i="5"/>
  <c r="N10" i="5"/>
  <c r="N19" i="5"/>
  <c r="N15" i="5"/>
  <c r="N12" i="5"/>
  <c r="N18" i="5"/>
  <c r="N9" i="5"/>
  <c r="N41" i="5"/>
  <c r="N42" i="5"/>
  <c r="N44" i="5"/>
  <c r="N45" i="5"/>
  <c r="N46" i="5"/>
  <c r="N48" i="5"/>
  <c r="N47" i="5"/>
  <c r="N49" i="5"/>
  <c r="N43" i="5"/>
  <c r="N39" i="5"/>
  <c r="N40" i="5"/>
  <c r="B300" i="4"/>
  <c r="B285" i="4"/>
  <c r="B99" i="4"/>
  <c r="B114" i="4"/>
  <c r="B18" i="5"/>
  <c r="B270" i="4"/>
  <c r="B154" i="5"/>
  <c r="B208" i="4"/>
  <c r="B84" i="4"/>
  <c r="B146" i="4"/>
  <c r="B139" i="5"/>
  <c r="B332" i="4"/>
  <c r="B65" i="4"/>
  <c r="F146" i="5" l="1"/>
  <c r="F150" i="5"/>
  <c r="F148" i="5"/>
  <c r="O14" i="5"/>
  <c r="O9" i="5"/>
  <c r="O12" i="5"/>
  <c r="O15" i="5"/>
  <c r="O18" i="5"/>
  <c r="O11" i="5"/>
  <c r="O17" i="5"/>
  <c r="O10" i="5"/>
  <c r="O16" i="5"/>
  <c r="O13" i="5"/>
  <c r="O19" i="5"/>
  <c r="O43" i="5"/>
  <c r="O46" i="5"/>
  <c r="O45" i="5"/>
  <c r="O48" i="5"/>
  <c r="O47" i="5"/>
  <c r="O49" i="5"/>
  <c r="O44" i="5"/>
  <c r="O42" i="5"/>
  <c r="O41" i="5"/>
  <c r="O39" i="5"/>
  <c r="O40" i="5"/>
  <c r="B286" i="4"/>
  <c r="B301" i="4"/>
  <c r="B115" i="4"/>
  <c r="B100" i="4"/>
  <c r="B19" i="5"/>
  <c r="B147" i="4"/>
  <c r="B271" i="4"/>
  <c r="B333" i="4"/>
  <c r="B140" i="5"/>
  <c r="B155" i="5"/>
  <c r="B85" i="4"/>
  <c r="B209" i="4"/>
  <c r="B66" i="4"/>
  <c r="P15" i="5" l="1"/>
  <c r="P17" i="5"/>
  <c r="P11" i="5"/>
  <c r="P10" i="5"/>
  <c r="P16" i="5"/>
  <c r="P12" i="5"/>
  <c r="P13" i="5"/>
  <c r="P19" i="5"/>
  <c r="P14" i="5"/>
  <c r="P18" i="5"/>
  <c r="P9" i="5"/>
  <c r="P43" i="5"/>
  <c r="P41" i="5"/>
  <c r="P44" i="5"/>
  <c r="P46" i="5"/>
  <c r="P49" i="5"/>
  <c r="P47" i="5"/>
  <c r="P45" i="5"/>
  <c r="P48" i="5"/>
  <c r="P42" i="5"/>
  <c r="P39" i="5"/>
  <c r="P40" i="5"/>
  <c r="R18" i="5" l="1"/>
  <c r="R16" i="5"/>
  <c r="R14" i="5"/>
  <c r="R19" i="5"/>
  <c r="R17" i="5"/>
  <c r="R15" i="5"/>
  <c r="R13" i="5"/>
  <c r="R12" i="5"/>
  <c r="R10" i="5"/>
  <c r="R11" i="5"/>
  <c r="R9" i="5"/>
  <c r="Q18" i="5"/>
  <c r="Q16" i="5"/>
  <c r="Q14" i="5"/>
  <c r="Q15" i="5"/>
  <c r="Q11" i="5"/>
  <c r="Q9" i="5"/>
  <c r="Q17" i="5"/>
  <c r="Q19" i="5"/>
  <c r="Q12" i="5"/>
  <c r="Q10" i="5"/>
  <c r="Q13" i="5"/>
  <c r="Q43" i="5" l="1"/>
  <c r="Q42" i="5"/>
  <c r="Q41" i="5"/>
  <c r="Q48" i="5"/>
  <c r="R41" i="5"/>
  <c r="R43" i="5"/>
  <c r="Q49" i="5"/>
  <c r="Q45" i="5"/>
  <c r="R45" i="5"/>
  <c r="R44" i="5"/>
  <c r="Q47" i="5"/>
  <c r="Q44" i="5"/>
  <c r="R40" i="5"/>
  <c r="R47" i="5"/>
  <c r="R46" i="5"/>
  <c r="Q40" i="5"/>
  <c r="Q39" i="5"/>
  <c r="Q46" i="5"/>
  <c r="R39" i="5"/>
  <c r="R42" i="5"/>
  <c r="R49" i="5"/>
  <c r="R48" i="5"/>
  <c r="S19" i="5"/>
  <c r="S17" i="5"/>
  <c r="S15" i="5"/>
  <c r="S13" i="5"/>
  <c r="S16" i="5"/>
  <c r="S12" i="5"/>
  <c r="S10" i="5"/>
  <c r="S18" i="5"/>
  <c r="S11" i="5"/>
  <c r="S9" i="5"/>
  <c r="S14" i="5"/>
  <c r="S48" i="5" l="1"/>
  <c r="S46" i="5"/>
  <c r="S49" i="5"/>
  <c r="S44" i="5"/>
  <c r="S42" i="5"/>
  <c r="S47" i="5"/>
  <c r="S39" i="5"/>
  <c r="S43" i="5"/>
  <c r="S41" i="5"/>
  <c r="S40" i="5"/>
  <c r="S45" i="5"/>
  <c r="T19" i="5"/>
  <c r="T17" i="5"/>
  <c r="T15" i="5"/>
  <c r="T13" i="5"/>
  <c r="T18" i="5"/>
  <c r="T16" i="5"/>
  <c r="T14" i="5"/>
  <c r="T11" i="5"/>
  <c r="T9" i="5"/>
  <c r="T12" i="5"/>
  <c r="T10" i="5"/>
  <c r="T42" i="5" l="1"/>
  <c r="T43" i="5"/>
  <c r="T39" i="5"/>
  <c r="T48" i="5"/>
  <c r="T45" i="5"/>
  <c r="T41" i="5"/>
  <c r="T47" i="5"/>
  <c r="T40" i="5"/>
  <c r="T44" i="5"/>
  <c r="T49" i="5"/>
  <c r="T46" i="5"/>
  <c r="U18" i="5"/>
  <c r="U16" i="5"/>
  <c r="U14" i="5"/>
  <c r="U17" i="5"/>
  <c r="U11" i="5"/>
  <c r="U9" i="5"/>
  <c r="U19" i="5"/>
  <c r="U13" i="5"/>
  <c r="U12" i="5"/>
  <c r="U10" i="5"/>
  <c r="U15" i="5"/>
  <c r="U47" i="5" l="1"/>
  <c r="U42" i="5"/>
  <c r="U39" i="5"/>
  <c r="U46" i="5"/>
  <c r="U40" i="5"/>
  <c r="U49" i="5"/>
  <c r="U44" i="5"/>
  <c r="U45" i="5"/>
  <c r="U43" i="5"/>
  <c r="U41" i="5"/>
  <c r="U48" i="5"/>
  <c r="V18" i="5"/>
  <c r="V16" i="5"/>
  <c r="V14" i="5"/>
  <c r="V19" i="5"/>
  <c r="V17" i="5"/>
  <c r="V15" i="5"/>
  <c r="V13" i="5"/>
  <c r="V12" i="5"/>
  <c r="V10" i="5"/>
  <c r="V11" i="5"/>
  <c r="V9" i="5"/>
  <c r="V46" i="5" l="1"/>
  <c r="V43" i="5"/>
  <c r="V44" i="5"/>
  <c r="V40" i="5"/>
  <c r="V47" i="5"/>
  <c r="V39" i="5"/>
  <c r="V42" i="5"/>
  <c r="V49" i="5"/>
  <c r="V48" i="5"/>
  <c r="V41" i="5"/>
  <c r="V45" i="5"/>
  <c r="W19" i="5"/>
  <c r="W17" i="5"/>
  <c r="W15" i="5"/>
  <c r="W13" i="5"/>
  <c r="W18" i="5"/>
  <c r="W12" i="5"/>
  <c r="W10" i="5"/>
  <c r="W14" i="5"/>
  <c r="W11" i="5"/>
  <c r="W9" i="5"/>
  <c r="W16" i="5"/>
  <c r="AJ12" i="5" l="1"/>
  <c r="AI14" i="5"/>
  <c r="AJ15" i="5"/>
  <c r="AJ19" i="5"/>
  <c r="AJ17" i="5"/>
  <c r="AI19" i="5"/>
  <c r="AI17" i="5"/>
  <c r="AI8" i="5"/>
  <c r="AJ11" i="5"/>
  <c r="AI15" i="5"/>
  <c r="AI9" i="5"/>
  <c r="AJ10" i="5"/>
  <c r="AJ14" i="5"/>
  <c r="AJ18" i="5"/>
  <c r="AJ13" i="5"/>
  <c r="AI16" i="5"/>
  <c r="AI10" i="5"/>
  <c r="AJ9" i="5"/>
  <c r="AJ8" i="5"/>
  <c r="AJ16" i="5"/>
  <c r="AI18" i="5"/>
  <c r="AI11" i="5"/>
  <c r="AI42" i="5"/>
  <c r="AI12" i="5"/>
  <c r="AI43" i="5"/>
  <c r="AI13" i="5"/>
  <c r="AJ42" i="5"/>
  <c r="AJ43" i="5"/>
  <c r="AI44" i="5"/>
  <c r="AJ45" i="5"/>
  <c r="AI45" i="5"/>
  <c r="AJ47" i="5"/>
  <c r="AI49" i="5"/>
  <c r="AI46" i="5"/>
  <c r="AJ49" i="5"/>
  <c r="AI41" i="5"/>
  <c r="AI48" i="5"/>
  <c r="AI47" i="5"/>
  <c r="AJ46" i="5"/>
  <c r="AJ41" i="5"/>
  <c r="AJ48" i="5"/>
  <c r="AJ44" i="5"/>
  <c r="AI38" i="5"/>
  <c r="AJ40" i="5"/>
  <c r="AJ38" i="5"/>
  <c r="AI39" i="5"/>
  <c r="AI40" i="5"/>
  <c r="AJ39" i="5"/>
  <c r="W46" i="5"/>
  <c r="W42" i="5"/>
  <c r="W47" i="5"/>
  <c r="W44" i="5"/>
  <c r="W40" i="5"/>
  <c r="W45" i="5"/>
  <c r="W39" i="5"/>
  <c r="W48" i="5"/>
  <c r="W49" i="5"/>
  <c r="W41" i="5"/>
  <c r="W43" i="5"/>
  <c r="X19" i="5"/>
  <c r="X17" i="5"/>
  <c r="X15" i="5"/>
  <c r="X13" i="5"/>
  <c r="X18" i="5"/>
  <c r="X16" i="5"/>
  <c r="X14" i="5"/>
  <c r="X11" i="5"/>
  <c r="X9" i="5"/>
  <c r="X12" i="5"/>
  <c r="X10" i="5"/>
  <c r="X40" i="5" l="1"/>
  <c r="X41" i="5"/>
  <c r="X47" i="5"/>
  <c r="X39" i="5"/>
  <c r="X45" i="5"/>
  <c r="X44" i="5"/>
  <c r="X49" i="5"/>
  <c r="X42" i="5"/>
  <c r="X46" i="5"/>
  <c r="X43" i="5"/>
  <c r="X48" i="5"/>
  <c r="Y18" i="5"/>
  <c r="Y16" i="5"/>
  <c r="Y14" i="5"/>
  <c r="Y19" i="5"/>
  <c r="Y11" i="5"/>
  <c r="Y9" i="5"/>
  <c r="Y15" i="5"/>
  <c r="Y10" i="5"/>
  <c r="Y17" i="5"/>
  <c r="Y12" i="5" l="1"/>
  <c r="Y13" i="5"/>
  <c r="Y43" i="5"/>
  <c r="Y49" i="5"/>
  <c r="Y40" i="5"/>
  <c r="Y44" i="5"/>
  <c r="Y42" i="5"/>
  <c r="Y39" i="5"/>
  <c r="Y46" i="5"/>
  <c r="Y47" i="5"/>
  <c r="Y45" i="5"/>
  <c r="Y41" i="5"/>
  <c r="Y48" i="5"/>
  <c r="Z18" i="5"/>
  <c r="Z16" i="5"/>
  <c r="Z19" i="5"/>
  <c r="Z17" i="5"/>
  <c r="Z15" i="5"/>
  <c r="Z13" i="5"/>
  <c r="Z12" i="5"/>
  <c r="Z11" i="5"/>
  <c r="Z9" i="5"/>
  <c r="Z14" i="5" l="1"/>
  <c r="Z10" i="5"/>
  <c r="Z45" i="5"/>
  <c r="Z40" i="5"/>
  <c r="Z47" i="5"/>
  <c r="Z46" i="5"/>
  <c r="Z39" i="5"/>
  <c r="Z48" i="5"/>
  <c r="Z42" i="5"/>
  <c r="Z49" i="5"/>
  <c r="Z41" i="5"/>
  <c r="Z43" i="5"/>
  <c r="Z44" i="5"/>
  <c r="AA19" i="5"/>
  <c r="AA17" i="5"/>
  <c r="AA15" i="5"/>
  <c r="AA13" i="5"/>
  <c r="AA12" i="5"/>
  <c r="AA10" i="5"/>
  <c r="AA14" i="5"/>
  <c r="AA16" i="5"/>
  <c r="AA11" i="5"/>
  <c r="AA9" i="5"/>
  <c r="AA18" i="5"/>
  <c r="AA46" i="5" l="1"/>
  <c r="AA48" i="5"/>
  <c r="AA44" i="5"/>
  <c r="AA42" i="5"/>
  <c r="AA47" i="5"/>
  <c r="AA39" i="5"/>
  <c r="AA49" i="5"/>
  <c r="AA40" i="5"/>
  <c r="AA45" i="5"/>
  <c r="AA41" i="5"/>
  <c r="AA43" i="5"/>
  <c r="AB19" i="5"/>
  <c r="AB17" i="5"/>
  <c r="AB15" i="5"/>
  <c r="AB13" i="5"/>
  <c r="AB18" i="5"/>
  <c r="AB16" i="5"/>
  <c r="AB14" i="5"/>
  <c r="AB12" i="5"/>
  <c r="AB11" i="5"/>
  <c r="AB9" i="5"/>
  <c r="AB10" i="5"/>
  <c r="AB48" i="5" l="1"/>
  <c r="AB40" i="5"/>
  <c r="AB42" i="5"/>
  <c r="AB47" i="5"/>
  <c r="AB45" i="5"/>
  <c r="AB41" i="5"/>
  <c r="AB44" i="5"/>
  <c r="AB49" i="5"/>
  <c r="AB39" i="5"/>
  <c r="AB46" i="5"/>
  <c r="AB43" i="5"/>
  <c r="AC18" i="5"/>
  <c r="AC16" i="5"/>
  <c r="AC14" i="5"/>
  <c r="AC12" i="5"/>
  <c r="AC13" i="5"/>
  <c r="AC11" i="5"/>
  <c r="AC9" i="5"/>
  <c r="AC15" i="5"/>
  <c r="AC17" i="5"/>
  <c r="AC10" i="5"/>
  <c r="AC19" i="5"/>
  <c r="AC49" i="5" l="1"/>
  <c r="AC45" i="5"/>
  <c r="AC48" i="5"/>
  <c r="AC47" i="5"/>
  <c r="AC43" i="5"/>
  <c r="AC46" i="5"/>
  <c r="AC39" i="5"/>
  <c r="AC42" i="5"/>
  <c r="AC40" i="5"/>
  <c r="AC41" i="5"/>
  <c r="AC44" i="5"/>
  <c r="AD18" i="5"/>
  <c r="AD16" i="5"/>
  <c r="AD14" i="5"/>
  <c r="AD12" i="5"/>
  <c r="AD19" i="5"/>
  <c r="AD17" i="5"/>
  <c r="AD15" i="5"/>
  <c r="AD13" i="5"/>
  <c r="AD10" i="5"/>
  <c r="AD11" i="5"/>
  <c r="AD9" i="5"/>
  <c r="AD40" i="5" l="1"/>
  <c r="AD49" i="5"/>
  <c r="AD46" i="5"/>
  <c r="AD39" i="5"/>
  <c r="AD43" i="5"/>
  <c r="AD48" i="5"/>
  <c r="AD41" i="5"/>
  <c r="AD45" i="5"/>
  <c r="AD42" i="5"/>
  <c r="AD47" i="5"/>
  <c r="AD44" i="5"/>
  <c r="AE19" i="5"/>
  <c r="AE17" i="5"/>
  <c r="AE15" i="5"/>
  <c r="AE13" i="5"/>
  <c r="AE14" i="5"/>
  <c r="AE10" i="5"/>
  <c r="AE16" i="5"/>
  <c r="AE18" i="5"/>
  <c r="AE11" i="5"/>
  <c r="AE9" i="5"/>
  <c r="AE12" i="5"/>
  <c r="AE40" i="5" l="1"/>
  <c r="AE42" i="5"/>
  <c r="AE48" i="5"/>
  <c r="AE44" i="5"/>
  <c r="AE47" i="5"/>
  <c r="AE46" i="5"/>
  <c r="AE49" i="5"/>
  <c r="AE39" i="5"/>
  <c r="AE43" i="5"/>
  <c r="AE41" i="5"/>
  <c r="AE45" i="5"/>
  <c r="AF19" i="5"/>
  <c r="AF17" i="5"/>
  <c r="AF15" i="5"/>
  <c r="AF13" i="5"/>
  <c r="AF18" i="5"/>
  <c r="AF16" i="5"/>
  <c r="AF14" i="5"/>
  <c r="AF12" i="5"/>
  <c r="AF11" i="5"/>
  <c r="AF9" i="5"/>
  <c r="AF10" i="5"/>
  <c r="AF40" i="5" l="1"/>
  <c r="AF44" i="5"/>
  <c r="AF49" i="5"/>
  <c r="AF42" i="5"/>
  <c r="AF47" i="5"/>
  <c r="AF39" i="5"/>
  <c r="AF46" i="5"/>
  <c r="AF43" i="5"/>
  <c r="AF41" i="5"/>
  <c r="AF48" i="5"/>
  <c r="AF45" i="5"/>
  <c r="AG18" i="5"/>
  <c r="AG16" i="5"/>
  <c r="AG14" i="5"/>
  <c r="AG12" i="5"/>
  <c r="AG15" i="5"/>
  <c r="AG11" i="5"/>
  <c r="AG9" i="5"/>
  <c r="AG17" i="5"/>
  <c r="AG19" i="5"/>
  <c r="AG10" i="5"/>
  <c r="AG8" i="5"/>
  <c r="AG13" i="5"/>
  <c r="AG40" i="5" l="1"/>
  <c r="AG41" i="5"/>
  <c r="AG46" i="5"/>
  <c r="AG43" i="5"/>
  <c r="AG49" i="5"/>
  <c r="AG45" i="5"/>
  <c r="AG48" i="5"/>
  <c r="AG47" i="5"/>
  <c r="AG42" i="5"/>
  <c r="AG38" i="5"/>
  <c r="AG39" i="5"/>
  <c r="AG44" i="5"/>
  <c r="AH8" i="5"/>
  <c r="AH10" i="5" l="1"/>
  <c r="F10" i="5" s="1"/>
  <c r="AH9" i="5"/>
  <c r="F9" i="5" s="1"/>
  <c r="AH13" i="5"/>
  <c r="F13" i="5" s="1"/>
  <c r="AH11" i="5"/>
  <c r="F11" i="5" s="1"/>
  <c r="AH12" i="5"/>
  <c r="F12" i="5" s="1"/>
  <c r="AH19" i="5"/>
  <c r="F19" i="5" s="1"/>
  <c r="AH16" i="5"/>
  <c r="F16" i="5" s="1"/>
  <c r="AH17" i="5"/>
  <c r="F17" i="5" s="1"/>
  <c r="AH14" i="5"/>
  <c r="F14" i="5" s="1"/>
  <c r="AH18" i="5"/>
  <c r="F18" i="5" s="1"/>
  <c r="AH15" i="5"/>
  <c r="F15" i="5" s="1"/>
  <c r="AH41" i="5"/>
  <c r="F41" i="5" s="1"/>
  <c r="AH42" i="5"/>
  <c r="F42" i="5" s="1"/>
  <c r="AH40" i="5"/>
  <c r="F40" i="5" s="1"/>
  <c r="AH39" i="5"/>
  <c r="F39" i="5" s="1"/>
  <c r="AH43" i="5"/>
  <c r="F43" i="5" s="1"/>
  <c r="AH44" i="5"/>
  <c r="F44" i="5" s="1"/>
  <c r="AH45" i="5"/>
  <c r="F45" i="5" s="1"/>
  <c r="AH47" i="5"/>
  <c r="F47" i="5" s="1"/>
  <c r="AH49" i="5"/>
  <c r="F49" i="5" s="1"/>
  <c r="AH46" i="5"/>
  <c r="F46" i="5" s="1"/>
  <c r="AH48" i="5"/>
  <c r="F48" i="5" s="1"/>
  <c r="AH38" i="5"/>
  <c r="Y8" i="5" l="1"/>
  <c r="T8" i="5"/>
  <c r="AB8" i="5"/>
  <c r="X8" i="5"/>
  <c r="U8" i="5"/>
  <c r="J8" i="5"/>
  <c r="AC8" i="5"/>
  <c r="I8" i="5"/>
  <c r="AD8" i="5"/>
  <c r="R8" i="5"/>
  <c r="AF8" i="5"/>
  <c r="V8" i="5"/>
  <c r="S8" i="5"/>
  <c r="O8" i="5"/>
  <c r="K8" i="5"/>
  <c r="P8" i="5"/>
  <c r="Z8" i="5"/>
  <c r="AA8" i="5"/>
  <c r="W8" i="5"/>
  <c r="N8" i="5"/>
  <c r="Q8" i="5"/>
  <c r="L8" i="5"/>
  <c r="AE8" i="5"/>
  <c r="M8" i="5"/>
  <c r="P38" i="5"/>
  <c r="O38" i="5"/>
  <c r="S38" i="5"/>
  <c r="M38" i="5"/>
  <c r="AD38" i="5"/>
  <c r="X38" i="5"/>
  <c r="V38" i="5"/>
  <c r="L38" i="5"/>
  <c r="Q38" i="5"/>
  <c r="U38" i="5"/>
  <c r="N38" i="5"/>
  <c r="AB38" i="5"/>
  <c r="K38" i="5"/>
  <c r="AA38" i="5"/>
  <c r="AE38" i="5"/>
  <c r="T38" i="5"/>
  <c r="AC38" i="5"/>
  <c r="Y38" i="5"/>
  <c r="W38" i="5"/>
  <c r="AF38" i="5"/>
  <c r="J38" i="5"/>
  <c r="R38" i="5"/>
  <c r="I38" i="5"/>
  <c r="Z38" i="5"/>
  <c r="F8" i="5" l="1"/>
  <c r="F38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Tony Chen</author>
  </authors>
  <commentList>
    <comment ref="F19" authorId="0" shapeId="0" xr:uid="{6952D9C2-C10E-4FA3-A091-0D9457948EA7}">
      <text>
        <r>
          <rPr>
            <sz val="9"/>
            <color indexed="81"/>
            <rFont val="Tahoma"/>
            <family val="2"/>
          </rPr>
          <t>Enter 'start year' inputs based on financial year ie 1 July to 30 June</t>
        </r>
      </text>
    </comment>
    <comment ref="G19" authorId="0" shapeId="0" xr:uid="{3BC31615-5948-466E-A3F7-E8BC5DC1F80B}">
      <text>
        <r>
          <rPr>
            <sz val="9"/>
            <color indexed="81"/>
            <rFont val="Tahoma"/>
            <family val="2"/>
          </rPr>
          <t>Enter 'end year' inputs based on financial year ie 1 July to 30 June</t>
        </r>
      </text>
    </comment>
    <comment ref="H19" authorId="0" shapeId="0" xr:uid="{AC9E181B-F5FC-4881-B536-1C5B2239704F}">
      <text>
        <r>
          <rPr>
            <sz val="9"/>
            <color indexed="81"/>
            <rFont val="Tahoma"/>
            <family val="2"/>
          </rPr>
          <t>Enter 'commission year' inputs based on financial year ie 1 July to 30 June</t>
        </r>
      </text>
    </comment>
    <comment ref="P19" authorId="0" shapeId="0" xr:uid="{6A38CC4F-DB27-4EA0-938C-E30452FAADE3}">
      <text>
        <r>
          <rPr>
            <sz val="9"/>
            <color indexed="81"/>
            <rFont val="Tahoma"/>
            <family val="2"/>
          </rPr>
          <t>Enter 'start year' inputs based on financial year ie 1 July to 30 June</t>
        </r>
      </text>
    </comment>
    <comment ref="Q19" authorId="0" shapeId="0" xr:uid="{FCF4A986-F8BD-4F6D-96E0-F7024069CE2D}">
      <text>
        <r>
          <rPr>
            <sz val="9"/>
            <color indexed="81"/>
            <rFont val="Tahoma"/>
            <family val="2"/>
          </rPr>
          <t>Enter 'end year' inputs based on financial year ie 1 July to 30 June</t>
        </r>
      </text>
    </comment>
    <comment ref="R19" authorId="0" shapeId="0" xr:uid="{2EEE4322-3B11-4A1A-8472-AEC456D0625A}">
      <text>
        <r>
          <rPr>
            <sz val="9"/>
            <color indexed="81"/>
            <rFont val="Tahoma"/>
            <family val="2"/>
          </rPr>
          <t>Enter 'commission year' inputs based on financial year ie 1 July to 30 June</t>
        </r>
      </text>
    </comment>
  </commentList>
</comments>
</file>

<file path=xl/sharedStrings.xml><?xml version="1.0" encoding="utf-8"?>
<sst xmlns="http://schemas.openxmlformats.org/spreadsheetml/2006/main" count="1187" uniqueCount="178">
  <si>
    <t>Calculation cell</t>
  </si>
  <si>
    <t>Input Cell</t>
  </si>
  <si>
    <t>Parameter Cell</t>
  </si>
  <si>
    <t>Output Cell</t>
  </si>
  <si>
    <t>Table Row Name</t>
  </si>
  <si>
    <t>General parameters</t>
  </si>
  <si>
    <t>Parameter</t>
  </si>
  <si>
    <t>Unit</t>
  </si>
  <si>
    <t>Value</t>
  </si>
  <si>
    <t>First year of analysis</t>
  </si>
  <si>
    <t>Year</t>
  </si>
  <si>
    <t>Analysis period</t>
  </si>
  <si>
    <t>Years</t>
  </si>
  <si>
    <t>Option name</t>
  </si>
  <si>
    <t>Number</t>
  </si>
  <si>
    <t>Base case</t>
  </si>
  <si>
    <t>Short description</t>
  </si>
  <si>
    <t>Capital cost</t>
  </si>
  <si>
    <t>Start year</t>
  </si>
  <si>
    <t>End year</t>
  </si>
  <si>
    <t>Asset life</t>
  </si>
  <si>
    <t>Amount</t>
  </si>
  <si>
    <t>Units</t>
  </si>
  <si>
    <t>Option descriptions</t>
  </si>
  <si>
    <t>Cost inputs</t>
  </si>
  <si>
    <t>Benefit inputs</t>
  </si>
  <si>
    <t>General parameter and option inputs</t>
  </si>
  <si>
    <t xml:space="preserve">Fuel consumption from generation dispatch </t>
  </si>
  <si>
    <t>[NER, rule 5.16.1(c)(4)(i)]</t>
  </si>
  <si>
    <t xml:space="preserve">Voluntary load curtailment </t>
  </si>
  <si>
    <t>[NER, rule 5.16.1(c)(4)(ii)]</t>
  </si>
  <si>
    <t>[NER, rule 5.16.1(c)(4)(iii)]</t>
  </si>
  <si>
    <t>[NER, rule 5.16.1(c)(4)(iv)]</t>
  </si>
  <si>
    <t>Note</t>
  </si>
  <si>
    <t>Inputs and parameters for RIT-T assessment</t>
  </si>
  <si>
    <t>$</t>
  </si>
  <si>
    <t>Net present value for each option</t>
  </si>
  <si>
    <t>PV</t>
  </si>
  <si>
    <t>NPV</t>
  </si>
  <si>
    <t>Low</t>
  </si>
  <si>
    <t>High</t>
  </si>
  <si>
    <t>Active</t>
  </si>
  <si>
    <t>Cost</t>
  </si>
  <si>
    <t>Cost sensitivities</t>
  </si>
  <si>
    <t>Discount rate sensitivities</t>
  </si>
  <si>
    <t>Scenario</t>
  </si>
  <si>
    <t>Sensitivity inputs</t>
  </si>
  <si>
    <t>Terminal value</t>
  </si>
  <si>
    <t>Calculating costs, benefits and NPV for each option</t>
  </si>
  <si>
    <t>General</t>
  </si>
  <si>
    <t>Incremental cost calculation</t>
  </si>
  <si>
    <t>Incremental benefit calculation</t>
  </si>
  <si>
    <t>Incremental net present value calculation</t>
  </si>
  <si>
    <t>Capex component</t>
  </si>
  <si>
    <t>[NER, rule 5.16.1(c)(4)(v)]</t>
  </si>
  <si>
    <t>Percent</t>
  </si>
  <si>
    <t>Yes</t>
  </si>
  <si>
    <t>Included in assessment?</t>
  </si>
  <si>
    <t>Difference in timing of unrelated expenditure</t>
  </si>
  <si>
    <t>Base year for dollar inputs</t>
  </si>
  <si>
    <t>Base</t>
  </si>
  <si>
    <t>User selection</t>
  </si>
  <si>
    <t>User Interface</t>
  </si>
  <si>
    <t>[Do not insert or delete rows from this table]</t>
  </si>
  <si>
    <t>Selection</t>
  </si>
  <si>
    <t>Involuntary load shedding</t>
  </si>
  <si>
    <t>Commercial discount rate</t>
  </si>
  <si>
    <t>Scenarios</t>
  </si>
  <si>
    <t>Scenario weighting</t>
  </si>
  <si>
    <t>Weighting</t>
  </si>
  <si>
    <t>Scenario selection</t>
  </si>
  <si>
    <t>Scenario 1</t>
  </si>
  <si>
    <t>Scenario 2</t>
  </si>
  <si>
    <t>Scenario 3</t>
  </si>
  <si>
    <t>Present value of benefits for each option</t>
  </si>
  <si>
    <t>Present value of costs for each option</t>
  </si>
  <si>
    <t>Costs for non RIT-T proponent parties</t>
  </si>
  <si>
    <t>Commission year</t>
  </si>
  <si>
    <t>Option 3A</t>
  </si>
  <si>
    <t>Avoided voluntary load curtailment</t>
  </si>
  <si>
    <t>Scenario 4</t>
  </si>
  <si>
    <t>Slow change</t>
  </si>
  <si>
    <t>Fast change</t>
  </si>
  <si>
    <t>Inputs</t>
  </si>
  <si>
    <t>Proportionate share</t>
  </si>
  <si>
    <t>Operating and maintenance cost</t>
  </si>
  <si>
    <t>Avoided fuel costs</t>
  </si>
  <si>
    <t>`</t>
  </si>
  <si>
    <t>Summary of the estimated net market benefits</t>
  </si>
  <si>
    <t>Weighted</t>
  </si>
  <si>
    <t>Avoided unserved energy</t>
  </si>
  <si>
    <t>Option 1A</t>
  </si>
  <si>
    <t>Option 1B</t>
  </si>
  <si>
    <t>Option 1C</t>
  </si>
  <si>
    <t>Avoided REZ transmission capex</t>
  </si>
  <si>
    <t>Breakdown of estimated gross market benefits</t>
  </si>
  <si>
    <t>Period</t>
  </si>
  <si>
    <t>Transmission capex</t>
  </si>
  <si>
    <t>Transmission opex</t>
  </si>
  <si>
    <t>Cumulative, PV</t>
  </si>
  <si>
    <t>Cumulative breakdown of gross market benefits, PV</t>
  </si>
  <si>
    <t>Avoided generation/storage costs (excl. fuel costs)</t>
  </si>
  <si>
    <t>Weighted scenario and summary</t>
  </si>
  <si>
    <t>Scenario summary</t>
  </si>
  <si>
    <t>HumeLink RIT-T PADR economic assessment</t>
  </si>
  <si>
    <t>Charts</t>
  </si>
  <si>
    <t>Option 2A</t>
  </si>
  <si>
    <t>Option 2C</t>
  </si>
  <si>
    <t>Option 3B</t>
  </si>
  <si>
    <t>Option 3C</t>
  </si>
  <si>
    <t>Option 4A</t>
  </si>
  <si>
    <t>Option 4B</t>
  </si>
  <si>
    <t>Option 4C</t>
  </si>
  <si>
    <t>Maragle-Bannaby: Two new 500kV transmission lines, tie transformers and swtichgears</t>
  </si>
  <si>
    <t>Maragle-Wagga: Four new 500kV transmission lines, tie transformers and switchgear</t>
  </si>
  <si>
    <t>Maragle-Bannaby-Wagga-Maragle: Three new 500kV transmission lines operated at 330kV, switchgear and PST</t>
  </si>
  <si>
    <t>Maragle-Bannaby-Wagga-Maragle: Three new 330kV high capacity transmission lines, switchgear and PST</t>
  </si>
  <si>
    <t>Maragle-Wagga: Four new 500kV transmission lines operated at 330kV, switchgear and PST</t>
  </si>
  <si>
    <t>Maragle-Bannaby: Two new 500kV transmission lines operated at 330kV, switchgear and PST</t>
  </si>
  <si>
    <t>Maragle-Bannaby: Two new 330kV high capacity transmission lines, switchgear and PST</t>
  </si>
  <si>
    <t>Maragle-Bannaby-Wagga-Maragle: three new 500kV transmission lines, tie transformers and switchgear</t>
  </si>
  <si>
    <t>Maragle-Bannaby-Sydney-Bannaby-Wagga-Maragle: Four new 330kV high capacity transmission lines and switchgear</t>
  </si>
  <si>
    <t>Maragle-Bannaby-Sydney-Bannaby-Wagga-Maragle: Four new 500kV  transmission lines operated at 330kV and switchgear</t>
  </si>
  <si>
    <t>Maragle-Bannaby-Sydney-Bannaby-Wagga-Maragle: Four new 500kV  transmission lines, tie transformers and switchgear</t>
  </si>
  <si>
    <t>No augmentation</t>
  </si>
  <si>
    <t>Modelling year series</t>
  </si>
  <si>
    <t>Year series</t>
  </si>
  <si>
    <t>Capital cost outflow</t>
  </si>
  <si>
    <t>Discount factor</t>
  </si>
  <si>
    <t>Preferred</t>
  </si>
  <si>
    <t>Maragle-Wagga:  Four new 330kV high capacity transmission lines, switchgear and PST</t>
  </si>
  <si>
    <t>Financial year series II</t>
  </si>
  <si>
    <t>Financial year series I</t>
  </si>
  <si>
    <t>Central</t>
  </si>
  <si>
    <t>Year count</t>
  </si>
  <si>
    <t>Year applicable</t>
  </si>
  <si>
    <t>Annualised</t>
  </si>
  <si>
    <t xml:space="preserve"> Conditional capital costs</t>
  </si>
  <si>
    <t>Conditional capital cost outflow</t>
  </si>
  <si>
    <t>Conditional terminal value</t>
  </si>
  <si>
    <t>Lines</t>
  </si>
  <si>
    <t>Substation</t>
  </si>
  <si>
    <t xml:space="preserve">Lines </t>
  </si>
  <si>
    <t>Option 2B</t>
  </si>
  <si>
    <t>Last year commissioned</t>
  </si>
  <si>
    <t>Step change</t>
  </si>
  <si>
    <t>Route 1</t>
  </si>
  <si>
    <t>Route 2</t>
  </si>
  <si>
    <t>Route 3</t>
  </si>
  <si>
    <t>Route 4</t>
  </si>
  <si>
    <t>Chart tables</t>
  </si>
  <si>
    <t>2019-20</t>
  </si>
  <si>
    <t>2020-21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</si>
  <si>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</si>
  <si>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</si>
  <si>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</si>
  <si>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</si>
  <si>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</si>
  <si>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</si>
  <si>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</si>
  <si>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</si>
  <si>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</si>
  <si>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</si>
  <si>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</si>
  <si>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</si>
  <si>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</si>
  <si>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</si>
  <si>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</si>
  <si>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</si>
  <si>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</si>
  <si>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2038-39</t>
  </si>
  <si>
    <t>2039-40</t>
  </si>
  <si>
    <t>2040-41</t>
  </si>
  <si>
    <t>2041-42</t>
  </si>
  <si>
    <t>2042-43</t>
  </si>
  <si>
    <t>2043-44</t>
  </si>
  <si>
    <t>2044-45</t>
  </si>
  <si>
    <t>Legend applied throughout the model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</si>
</sst>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;[Red]\-&quot;$&quot;#,##0"/>
    <numFmt numFmtId="8" formatCode="&quot;$&quot;#,##0.00;[Red]\-&quot;$&quot;#,##0.00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#,##0.000"/>
  </numFmts>
  <fonts count="36" x14ac:knownFonts="1">
    <font>
      <sz val="12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Arial"/>
      <family val="2"/>
    </font>
    <font>
      <b/>
      <sz val="16"/>
      <color theme="0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theme="4"/>
      <name val="Arial"/>
      <family val="2"/>
    </font>
    <font>
      <b/>
      <sz val="12"/>
      <color theme="1"/>
      <name val="Arial"/>
      <family val="2"/>
    </font>
    <font>
      <b/>
      <sz val="17"/>
      <color theme="1"/>
      <name val="Arial"/>
      <family val="2"/>
    </font>
    <font>
      <sz val="12"/>
      <color theme="0"/>
      <name val="Arial"/>
      <family val="2"/>
    </font>
    <font>
      <b/>
      <sz val="14"/>
      <name val="Arial"/>
      <family val="2"/>
    </font>
    <font>
      <sz val="12"/>
      <color rgb="FFFF000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2"/>
      <name val="Arial"/>
      <family val="2"/>
    </font>
    <font>
      <sz val="9"/>
      <color indexed="81"/>
      <name val="Tahoma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8698"/>
        <bgColor indexed="64"/>
      </patternFill>
    </fill>
    <fill>
      <patternFill patternType="solid">
        <fgColor rgb="FF696A6D"/>
        <bgColor indexed="64"/>
      </patternFill>
    </fill>
    <fill>
      <patternFill patternType="solid">
        <fgColor rgb="FF262D33"/>
        <bgColor indexed="64"/>
      </patternFill>
    </fill>
    <fill>
      <patternFill patternType="solid">
        <fgColor rgb="FFE0D4A4"/>
        <bgColor indexed="64"/>
      </patternFill>
    </fill>
    <fill>
      <patternFill patternType="solid">
        <fgColor rgb="FF9EC0DB"/>
        <bgColor indexed="64"/>
      </patternFill>
    </fill>
    <fill>
      <patternFill patternType="solid">
        <fgColor rgb="FFF6C1D1"/>
        <bgColor indexed="64"/>
      </patternFill>
    </fill>
    <fill>
      <patternFill patternType="solid">
        <fgColor rgb="FF9ECCA6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55">
    <xf numFmtId="0" fontId="0" fillId="0" borderId="0"/>
    <xf numFmtId="0" fontId="21" fillId="34" borderId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2" fillId="36" borderId="0"/>
    <xf numFmtId="0" fontId="22" fillId="35" borderId="0"/>
    <xf numFmtId="0" fontId="20" fillId="33" borderId="0"/>
    <xf numFmtId="2" fontId="20" fillId="37" borderId="0"/>
    <xf numFmtId="2" fontId="20" fillId="38" borderId="0"/>
    <xf numFmtId="1" fontId="20" fillId="39" borderId="0"/>
    <xf numFmtId="2" fontId="20" fillId="40" borderId="0"/>
  </cellStyleXfs>
  <cellXfs count="216">
    <xf numFmtId="0" fontId="0" fillId="0" borderId="0" xfId="0"/>
    <xf numFmtId="0" fontId="1" fillId="0" borderId="0" xfId="0" applyFont="1"/>
    <xf numFmtId="0" fontId="20" fillId="33" borderId="0" xfId="50"/>
    <xf numFmtId="0" fontId="2" fillId="0" borderId="0" xfId="0" applyFont="1" applyBorder="1"/>
    <xf numFmtId="0" fontId="0" fillId="0" borderId="0" xfId="0" applyBorder="1"/>
    <xf numFmtId="0" fontId="22" fillId="36" borderId="0" xfId="48"/>
    <xf numFmtId="0" fontId="21" fillId="34" borderId="0" xfId="1"/>
    <xf numFmtId="0" fontId="22" fillId="35" borderId="0" xfId="49"/>
    <xf numFmtId="0" fontId="22" fillId="35" borderId="0" xfId="49" applyAlignment="1">
      <alignment horizontal="center"/>
    </xf>
    <xf numFmtId="0" fontId="20" fillId="33" borderId="0" xfId="50" applyAlignment="1">
      <alignment horizontal="center"/>
    </xf>
    <xf numFmtId="0" fontId="22" fillId="35" borderId="0" xfId="49" applyAlignment="1">
      <alignment horizontal="left"/>
    </xf>
    <xf numFmtId="0" fontId="22" fillId="36" borderId="0" xfId="48" applyAlignment="1">
      <alignment horizontal="center"/>
    </xf>
    <xf numFmtId="0" fontId="0" fillId="33" borderId="0" xfId="50" applyFont="1" applyAlignment="1">
      <alignment horizontal="center"/>
    </xf>
    <xf numFmtId="0" fontId="22" fillId="35" borderId="0" xfId="49" applyAlignment="1">
      <alignment horizontal="right"/>
    </xf>
    <xf numFmtId="2" fontId="20" fillId="33" borderId="0" xfId="50" applyNumberFormat="1" applyAlignment="1">
      <alignment horizontal="left"/>
    </xf>
    <xf numFmtId="0" fontId="0" fillId="0" borderId="0" xfId="0" applyAlignment="1">
      <alignment horizontal="right"/>
    </xf>
    <xf numFmtId="0" fontId="22" fillId="36" borderId="0" xfId="48" applyAlignment="1">
      <alignment horizontal="right"/>
    </xf>
    <xf numFmtId="3" fontId="20" fillId="38" borderId="0" xfId="52" applyNumberFormat="1"/>
    <xf numFmtId="3" fontId="20" fillId="38" borderId="10" xfId="52" applyNumberFormat="1" applyBorder="1"/>
    <xf numFmtId="3" fontId="20" fillId="40" borderId="0" xfId="54" applyNumberFormat="1"/>
    <xf numFmtId="0" fontId="21" fillId="34" borderId="0" xfId="1" applyAlignment="1">
      <alignment horizontal="right"/>
    </xf>
    <xf numFmtId="10" fontId="20" fillId="38" borderId="0" xfId="52" applyNumberFormat="1" applyAlignment="1">
      <alignment horizontal="right"/>
    </xf>
    <xf numFmtId="3" fontId="20" fillId="40" borderId="0" xfId="54" applyNumberFormat="1" applyAlignment="1">
      <alignment horizontal="right"/>
    </xf>
    <xf numFmtId="3" fontId="20" fillId="40" borderId="10" xfId="54" applyNumberFormat="1" applyBorder="1"/>
    <xf numFmtId="0" fontId="20" fillId="33" borderId="0" xfId="50" applyNumberFormat="1" applyAlignment="1">
      <alignment horizontal="center"/>
    </xf>
    <xf numFmtId="0" fontId="20" fillId="33" borderId="0" xfId="50" applyNumberFormat="1" applyAlignment="1">
      <alignment horizontal="left"/>
    </xf>
    <xf numFmtId="0" fontId="20" fillId="33" borderId="0" xfId="50" applyAlignment="1">
      <alignment horizontal="left"/>
    </xf>
    <xf numFmtId="9" fontId="20" fillId="38" borderId="0" xfId="52" applyNumberFormat="1" applyAlignment="1">
      <alignment horizontal="right"/>
    </xf>
    <xf numFmtId="0" fontId="22" fillId="36" borderId="0" xfId="48" applyAlignment="1">
      <alignment horizontal="left"/>
    </xf>
    <xf numFmtId="0" fontId="0" fillId="0" borderId="0" xfId="0" applyAlignment="1">
      <alignment horizontal="left"/>
    </xf>
    <xf numFmtId="0" fontId="21" fillId="34" borderId="0" xfId="1" applyAlignment="1">
      <alignment horizontal="left"/>
    </xf>
    <xf numFmtId="0" fontId="23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2" fillId="36" borderId="11" xfId="48" applyBorder="1" applyAlignment="1">
      <alignment vertical="top"/>
    </xf>
    <xf numFmtId="0" fontId="22" fillId="36" borderId="12" xfId="48" applyBorder="1" applyAlignment="1">
      <alignment vertical="top"/>
    </xf>
    <xf numFmtId="0" fontId="22" fillId="36" borderId="13" xfId="48" applyBorder="1" applyAlignment="1">
      <alignment vertical="top"/>
    </xf>
    <xf numFmtId="2" fontId="20" fillId="37" borderId="14" xfId="51" applyBorder="1"/>
    <xf numFmtId="2" fontId="20" fillId="37" borderId="0" xfId="51" applyBorder="1"/>
    <xf numFmtId="2" fontId="20" fillId="38" borderId="14" xfId="52" applyBorder="1"/>
    <xf numFmtId="2" fontId="20" fillId="38" borderId="0" xfId="52" applyBorder="1"/>
    <xf numFmtId="1" fontId="20" fillId="39" borderId="14" xfId="53" applyBorder="1"/>
    <xf numFmtId="1" fontId="20" fillId="39" borderId="0" xfId="53" applyBorder="1"/>
    <xf numFmtId="2" fontId="20" fillId="40" borderId="16" xfId="54" applyBorder="1"/>
    <xf numFmtId="2" fontId="20" fillId="40" borderId="17" xfId="54" applyBorder="1"/>
    <xf numFmtId="0" fontId="0" fillId="0" borderId="0" xfId="0" applyProtection="1"/>
    <xf numFmtId="0" fontId="0" fillId="0" borderId="0" xfId="0" applyFill="1" applyProtection="1"/>
    <xf numFmtId="1" fontId="20" fillId="39" borderId="0" xfId="53" applyAlignment="1" applyProtection="1">
      <alignment horizontal="center"/>
      <protection locked="0"/>
    </xf>
    <xf numFmtId="2" fontId="20" fillId="37" borderId="0" xfId="51" applyProtection="1">
      <protection locked="0"/>
    </xf>
    <xf numFmtId="2" fontId="0" fillId="37" borderId="0" xfId="51" applyFont="1" applyAlignment="1" applyProtection="1">
      <alignment horizontal="left" vertical="top"/>
      <protection locked="0"/>
    </xf>
    <xf numFmtId="2" fontId="20" fillId="37" borderId="0" xfId="51" applyAlignment="1" applyProtection="1">
      <alignment horizontal="left" vertical="top"/>
      <protection locked="0"/>
    </xf>
    <xf numFmtId="1" fontId="20" fillId="39" borderId="0" xfId="53" applyAlignment="1" applyProtection="1">
      <alignment horizontal="center" vertical="top"/>
      <protection locked="0"/>
    </xf>
    <xf numFmtId="10" fontId="20" fillId="39" borderId="0" xfId="53" applyNumberFormat="1" applyAlignment="1" applyProtection="1">
      <alignment horizontal="center"/>
      <protection locked="0"/>
    </xf>
    <xf numFmtId="9" fontId="20" fillId="39" borderId="0" xfId="53" applyNumberFormat="1" applyAlignment="1" applyProtection="1">
      <alignment horizontal="center"/>
      <protection locked="0"/>
    </xf>
    <xf numFmtId="2" fontId="0" fillId="37" borderId="0" xfId="51" applyFont="1" applyProtection="1">
      <protection locked="0"/>
    </xf>
    <xf numFmtId="3" fontId="20" fillId="37" borderId="0" xfId="51" applyNumberFormat="1" applyProtection="1">
      <protection locked="0"/>
    </xf>
    <xf numFmtId="0" fontId="21" fillId="34" borderId="0" xfId="1" applyProtection="1"/>
    <xf numFmtId="0" fontId="22" fillId="36" borderId="0" xfId="48" applyProtection="1"/>
    <xf numFmtId="0" fontId="22" fillId="35" borderId="0" xfId="49" applyProtection="1"/>
    <xf numFmtId="0" fontId="0" fillId="33" borderId="0" xfId="50" applyFont="1" applyProtection="1"/>
    <xf numFmtId="0" fontId="20" fillId="33" borderId="0" xfId="50" applyAlignment="1" applyProtection="1">
      <alignment horizontal="center" vertical="top"/>
    </xf>
    <xf numFmtId="0" fontId="20" fillId="33" borderId="0" xfId="50" applyProtection="1"/>
    <xf numFmtId="0" fontId="22" fillId="35" borderId="0" xfId="49" applyAlignment="1" applyProtection="1">
      <alignment horizontal="center"/>
    </xf>
    <xf numFmtId="0" fontId="20" fillId="33" borderId="0" xfId="50" applyAlignment="1" applyProtection="1">
      <alignment horizontal="center"/>
    </xf>
    <xf numFmtId="0" fontId="20" fillId="0" borderId="0" xfId="50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22" fillId="36" borderId="0" xfId="48" applyAlignment="1" applyProtection="1">
      <alignment horizontal="center"/>
    </xf>
    <xf numFmtId="0" fontId="0" fillId="33" borderId="0" xfId="50" applyFont="1" applyAlignment="1" applyProtection="1">
      <alignment horizontal="center"/>
    </xf>
    <xf numFmtId="0" fontId="21" fillId="34" borderId="0" xfId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right"/>
    </xf>
    <xf numFmtId="0" fontId="22" fillId="36" borderId="0" xfId="48" applyFont="1" applyAlignment="1" applyProtection="1">
      <alignment horizontal="right"/>
    </xf>
    <xf numFmtId="0" fontId="21" fillId="34" borderId="0" xfId="1" applyAlignment="1" applyProtection="1">
      <alignment horizontal="center"/>
    </xf>
    <xf numFmtId="10" fontId="20" fillId="38" borderId="0" xfId="52" applyNumberFormat="1" applyAlignment="1" applyProtection="1">
      <alignment horizontal="center"/>
    </xf>
    <xf numFmtId="9" fontId="20" fillId="38" borderId="0" xfId="52" applyNumberFormat="1" applyAlignment="1" applyProtection="1">
      <alignment horizontal="center"/>
    </xf>
    <xf numFmtId="0" fontId="20" fillId="0" borderId="0" xfId="50" applyFill="1" applyProtection="1"/>
    <xf numFmtId="0" fontId="0" fillId="0" borderId="0" xfId="50" applyFont="1" applyFill="1" applyAlignment="1" applyProtection="1">
      <alignment horizontal="center"/>
    </xf>
    <xf numFmtId="3" fontId="20" fillId="0" borderId="0" xfId="51" applyNumberFormat="1" applyFill="1" applyProtection="1"/>
    <xf numFmtId="2" fontId="20" fillId="37" borderId="0" xfId="51"/>
    <xf numFmtId="0" fontId="22" fillId="35" borderId="0" xfId="49" applyAlignment="1" applyProtection="1">
      <alignment horizontal="left"/>
    </xf>
    <xf numFmtId="2" fontId="20" fillId="37" borderId="0" xfId="51" applyAlignment="1">
      <alignment horizontal="left"/>
    </xf>
    <xf numFmtId="0" fontId="26" fillId="0" borderId="0" xfId="0" applyFont="1" applyAlignment="1">
      <alignment horizontal="right"/>
    </xf>
    <xf numFmtId="0" fontId="28" fillId="0" borderId="0" xfId="0" applyFont="1" applyProtection="1"/>
    <xf numFmtId="0" fontId="28" fillId="0" borderId="0" xfId="0" applyFont="1"/>
    <xf numFmtId="0" fontId="29" fillId="0" borderId="0" xfId="0" applyFont="1" applyBorder="1" applyProtection="1"/>
    <xf numFmtId="0" fontId="24" fillId="0" borderId="0" xfId="0" applyFont="1" applyBorder="1" applyProtection="1"/>
    <xf numFmtId="0" fontId="24" fillId="0" borderId="0" xfId="0" applyFont="1" applyFill="1" applyProtection="1"/>
    <xf numFmtId="0" fontId="24" fillId="0" borderId="0" xfId="0" applyFont="1" applyProtection="1"/>
    <xf numFmtId="0" fontId="22" fillId="35" borderId="0" xfId="49" applyAlignment="1" applyProtection="1">
      <alignment vertical="top"/>
    </xf>
    <xf numFmtId="0" fontId="22" fillId="35" borderId="0" xfId="49" applyAlignment="1" applyProtection="1">
      <alignment vertical="top" wrapText="1"/>
    </xf>
    <xf numFmtId="0" fontId="22" fillId="35" borderId="0" xfId="49" applyAlignment="1" applyProtection="1">
      <alignment horizontal="center" vertical="top" wrapText="1"/>
    </xf>
    <xf numFmtId="2" fontId="0" fillId="37" borderId="0" xfId="51" quotePrefix="1" applyFont="1" applyAlignment="1" applyProtection="1">
      <alignment vertical="top"/>
      <protection locked="0"/>
    </xf>
    <xf numFmtId="2" fontId="0" fillId="37" borderId="0" xfId="51" applyFont="1" applyAlignment="1" applyProtection="1">
      <alignment vertical="top"/>
      <protection locked="0"/>
    </xf>
    <xf numFmtId="1" fontId="20" fillId="39" borderId="0" xfId="53" applyAlignment="1">
      <alignment horizontal="center"/>
    </xf>
    <xf numFmtId="0" fontId="0" fillId="0" borderId="0" xfId="0" applyFill="1"/>
    <xf numFmtId="0" fontId="24" fillId="0" borderId="0" xfId="0" applyFont="1"/>
    <xf numFmtId="2" fontId="20" fillId="38" borderId="0" xfId="52" applyAlignment="1">
      <alignment horizontal="center"/>
    </xf>
    <xf numFmtId="0" fontId="20" fillId="0" borderId="0" xfId="50" applyFill="1"/>
    <xf numFmtId="1" fontId="20" fillId="0" borderId="0" xfId="53" applyFill="1" applyAlignment="1" applyProtection="1">
      <alignment horizontal="center"/>
      <protection locked="0"/>
    </xf>
    <xf numFmtId="2" fontId="20" fillId="39" borderId="0" xfId="53" applyNumberFormat="1" applyAlignment="1">
      <alignment horizontal="center"/>
    </xf>
    <xf numFmtId="0" fontId="22" fillId="35" borderId="0" xfId="49" applyAlignment="1" applyProtection="1">
      <alignment horizontal="left" vertical="top" wrapText="1"/>
    </xf>
    <xf numFmtId="3" fontId="0" fillId="0" borderId="0" xfId="0" applyNumberFormat="1" applyProtection="1"/>
    <xf numFmtId="0" fontId="22" fillId="35" borderId="0" xfId="49" applyAlignment="1" applyProtection="1">
      <alignment horizontal="right" vertical="top" wrapText="1"/>
    </xf>
    <xf numFmtId="0" fontId="30" fillId="0" borderId="0" xfId="0" applyFont="1"/>
    <xf numFmtId="0" fontId="30" fillId="0" borderId="0" xfId="0" applyFont="1" applyProtection="1"/>
    <xf numFmtId="0" fontId="29" fillId="0" borderId="0" xfId="0" applyFont="1" applyBorder="1"/>
    <xf numFmtId="0" fontId="24" fillId="0" borderId="0" xfId="0" applyFont="1" applyBorder="1"/>
    <xf numFmtId="0" fontId="24" fillId="0" borderId="0" xfId="0" applyFont="1" applyAlignment="1">
      <alignment vertical="top"/>
    </xf>
    <xf numFmtId="0" fontId="22" fillId="36" borderId="0" xfId="48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horizontal="right" vertical="top"/>
    </xf>
    <xf numFmtId="0" fontId="22" fillId="36" borderId="0" xfId="48" applyAlignment="1">
      <alignment horizontal="center" vertical="top" wrapText="1"/>
    </xf>
    <xf numFmtId="0" fontId="22" fillId="36" borderId="0" xfId="48" applyAlignment="1">
      <alignment vertical="top" wrapText="1"/>
    </xf>
    <xf numFmtId="0" fontId="22" fillId="36" borderId="0" xfId="48" applyAlignment="1" applyProtection="1">
      <alignment horizontal="right"/>
    </xf>
    <xf numFmtId="0" fontId="22" fillId="36" borderId="0" xfId="48" applyAlignment="1" applyProtection="1">
      <alignment horizontal="left"/>
    </xf>
    <xf numFmtId="0" fontId="22" fillId="36" borderId="0" xfId="48" applyAlignment="1" applyProtection="1"/>
    <xf numFmtId="0" fontId="22" fillId="0" borderId="0" xfId="48" applyFill="1" applyProtection="1"/>
    <xf numFmtId="0" fontId="22" fillId="0" borderId="0" xfId="48" applyFill="1" applyAlignment="1" applyProtection="1">
      <alignment horizontal="right"/>
    </xf>
    <xf numFmtId="0" fontId="20" fillId="33" borderId="0" xfId="50" applyAlignment="1" applyProtection="1">
      <alignment horizontal="left"/>
    </xf>
    <xf numFmtId="0" fontId="22" fillId="0" borderId="0" xfId="48" applyFill="1" applyAlignment="1" applyProtection="1">
      <alignment horizontal="left"/>
    </xf>
    <xf numFmtId="0" fontId="28" fillId="0" borderId="0" xfId="0" applyFont="1" applyAlignment="1">
      <alignment vertical="top"/>
    </xf>
    <xf numFmtId="2" fontId="0" fillId="33" borderId="0" xfId="51" applyFont="1" applyFill="1" applyAlignment="1" applyProtection="1">
      <alignment horizontal="left"/>
      <protection locked="0"/>
    </xf>
    <xf numFmtId="2" fontId="20" fillId="33" borderId="0" xfId="50" applyNumberFormat="1"/>
    <xf numFmtId="0" fontId="31" fillId="0" borderId="0" xfId="0" applyFont="1"/>
    <xf numFmtId="3" fontId="31" fillId="0" borderId="0" xfId="0" applyNumberFormat="1" applyFont="1"/>
    <xf numFmtId="0" fontId="32" fillId="36" borderId="0" xfId="48" applyFont="1"/>
    <xf numFmtId="0" fontId="32" fillId="35" borderId="0" xfId="49" applyFont="1"/>
    <xf numFmtId="0" fontId="31" fillId="33" borderId="0" xfId="50" applyFont="1"/>
    <xf numFmtId="0" fontId="32" fillId="35" borderId="0" xfId="49" applyFont="1" applyAlignment="1">
      <alignment horizontal="right"/>
    </xf>
    <xf numFmtId="3" fontId="20" fillId="37" borderId="0" xfId="51" applyNumberFormat="1"/>
    <xf numFmtId="0" fontId="31" fillId="0" borderId="0" xfId="0" applyFont="1" applyAlignment="1">
      <alignment horizontal="right"/>
    </xf>
    <xf numFmtId="0" fontId="32" fillId="36" borderId="0" xfId="48" applyFont="1" applyAlignment="1">
      <alignment horizontal="right"/>
    </xf>
    <xf numFmtId="3" fontId="31" fillId="0" borderId="0" xfId="0" applyNumberFormat="1" applyFont="1" applyAlignment="1">
      <alignment horizontal="right"/>
    </xf>
    <xf numFmtId="3" fontId="0" fillId="0" borderId="0" xfId="0" applyNumberFormat="1"/>
    <xf numFmtId="168" fontId="31" fillId="0" borderId="0" xfId="0" applyNumberFormat="1" applyFont="1"/>
    <xf numFmtId="0" fontId="32" fillId="0" borderId="0" xfId="49" applyFont="1" applyFill="1"/>
    <xf numFmtId="0" fontId="31" fillId="0" borderId="0" xfId="0" applyFont="1" applyFill="1"/>
    <xf numFmtId="0" fontId="32" fillId="0" borderId="0" xfId="48" applyFont="1" applyFill="1"/>
    <xf numFmtId="4" fontId="32" fillId="35" borderId="0" xfId="49" applyNumberFormat="1" applyFont="1"/>
    <xf numFmtId="2" fontId="0" fillId="37" borderId="0" xfId="51" applyFont="1"/>
    <xf numFmtId="3" fontId="20" fillId="33" borderId="0" xfId="50" applyNumberFormat="1" applyAlignment="1">
      <alignment horizontal="center"/>
    </xf>
    <xf numFmtId="0" fontId="32" fillId="35" borderId="0" xfId="49" applyFont="1" applyAlignment="1">
      <alignment horizontal="right" wrapText="1"/>
    </xf>
    <xf numFmtId="0" fontId="31" fillId="0" borderId="0" xfId="0" applyFont="1" applyFill="1" applyBorder="1"/>
    <xf numFmtId="0" fontId="32" fillId="0" borderId="0" xfId="49" applyFont="1" applyFill="1" applyBorder="1" applyAlignment="1">
      <alignment horizontal="left"/>
    </xf>
    <xf numFmtId="3" fontId="21" fillId="34" borderId="0" xfId="1" applyNumberFormat="1"/>
    <xf numFmtId="6" fontId="22" fillId="36" borderId="0" xfId="48" applyNumberFormat="1"/>
    <xf numFmtId="0" fontId="32" fillId="36" borderId="0" xfId="48" applyFont="1" applyAlignment="1">
      <alignment horizontal="left"/>
    </xf>
    <xf numFmtId="3" fontId="31" fillId="0" borderId="0" xfId="0" applyNumberFormat="1" applyFont="1" applyAlignment="1">
      <alignment horizontal="left"/>
    </xf>
    <xf numFmtId="4" fontId="31" fillId="0" borderId="0" xfId="0" applyNumberFormat="1" applyFont="1" applyAlignment="1">
      <alignment horizontal="right"/>
    </xf>
    <xf numFmtId="169" fontId="31" fillId="0" borderId="0" xfId="0" applyNumberFormat="1" applyFont="1" applyAlignment="1">
      <alignment horizontal="right"/>
    </xf>
    <xf numFmtId="3" fontId="20" fillId="37" borderId="0" xfId="51" applyNumberFormat="1" applyBorder="1"/>
    <xf numFmtId="0" fontId="20" fillId="37" borderId="0" xfId="51" applyNumberFormat="1" applyBorder="1"/>
    <xf numFmtId="2" fontId="0" fillId="0" borderId="0" xfId="0" applyNumberFormat="1"/>
    <xf numFmtId="0" fontId="33" fillId="0" borderId="0" xfId="0" applyFont="1"/>
    <xf numFmtId="0" fontId="31" fillId="0" borderId="0" xfId="0" applyFont="1" applyAlignment="1">
      <alignment wrapText="1"/>
    </xf>
    <xf numFmtId="0" fontId="32" fillId="35" borderId="0" xfId="49" applyFont="1" applyAlignment="1">
      <alignment horizontal="center" wrapText="1"/>
    </xf>
    <xf numFmtId="2" fontId="31" fillId="0" borderId="0" xfId="0" applyNumberFormat="1" applyFont="1" applyAlignment="1">
      <alignment wrapText="1"/>
    </xf>
    <xf numFmtId="2" fontId="0" fillId="37" borderId="0" xfId="51" applyFont="1" applyBorder="1"/>
    <xf numFmtId="0" fontId="24" fillId="0" borderId="0" xfId="0" applyFont="1" applyAlignment="1" applyProtection="1">
      <alignment horizontal="left"/>
    </xf>
    <xf numFmtId="0" fontId="24" fillId="0" borderId="0" xfId="0" applyFont="1" applyFill="1" applyAlignment="1" applyProtection="1">
      <alignment horizontal="left"/>
    </xf>
    <xf numFmtId="0" fontId="34" fillId="0" borderId="0" xfId="49" applyFont="1" applyFill="1" applyProtection="1"/>
    <xf numFmtId="0" fontId="34" fillId="0" borderId="0" xfId="0" applyFont="1" applyFill="1" applyProtection="1"/>
    <xf numFmtId="0" fontId="34" fillId="0" borderId="0" xfId="0" applyFont="1" applyProtection="1"/>
    <xf numFmtId="0" fontId="34" fillId="0" borderId="0" xfId="48" applyFont="1" applyFill="1" applyProtection="1"/>
    <xf numFmtId="0" fontId="20" fillId="38" borderId="0" xfId="52" applyNumberFormat="1" applyAlignment="1">
      <alignment horizontal="center"/>
    </xf>
    <xf numFmtId="0" fontId="24" fillId="0" borderId="0" xfId="0" applyFont="1" applyFill="1" applyAlignment="1" applyProtection="1">
      <alignment horizontal="center"/>
    </xf>
    <xf numFmtId="0" fontId="22" fillId="36" borderId="0" xfId="48" applyFill="1" applyProtection="1"/>
    <xf numFmtId="0" fontId="0" fillId="36" borderId="0" xfId="0" applyFill="1" applyProtection="1"/>
    <xf numFmtId="0" fontId="0" fillId="36" borderId="0" xfId="0" applyFill="1" applyAlignment="1" applyProtection="1">
      <alignment horizontal="center"/>
    </xf>
    <xf numFmtId="0" fontId="20" fillId="38" borderId="0" xfId="52" applyNumberFormat="1" applyAlignment="1">
      <alignment horizontal="right"/>
    </xf>
    <xf numFmtId="0" fontId="22" fillId="35" borderId="0" xfId="49" applyAlignment="1" applyProtection="1">
      <alignment horizontal="right"/>
    </xf>
    <xf numFmtId="2" fontId="20" fillId="38" borderId="0" xfId="52" applyNumberFormat="1" applyAlignment="1">
      <alignment horizontal="right"/>
    </xf>
    <xf numFmtId="0" fontId="31" fillId="0" borderId="0" xfId="50" applyFont="1" applyFill="1" applyBorder="1" applyAlignment="1">
      <alignment vertical="top"/>
    </xf>
    <xf numFmtId="3" fontId="32" fillId="36" borderId="0" xfId="48" applyNumberFormat="1" applyFont="1" applyAlignment="1">
      <alignment horizontal="right"/>
    </xf>
    <xf numFmtId="0" fontId="32" fillId="0" borderId="0" xfId="48" applyFont="1" applyFill="1" applyAlignment="1">
      <alignment horizontal="left"/>
    </xf>
    <xf numFmtId="0" fontId="32" fillId="0" borderId="0" xfId="49" applyFont="1" applyFill="1" applyAlignment="1">
      <alignment horizontal="left"/>
    </xf>
    <xf numFmtId="0" fontId="22" fillId="35" borderId="0" xfId="49" applyAlignment="1"/>
    <xf numFmtId="3" fontId="20" fillId="38" borderId="21" xfId="52" applyNumberFormat="1" applyBorder="1"/>
    <xf numFmtId="0" fontId="20" fillId="37" borderId="0" xfId="51" applyNumberFormat="1" applyBorder="1" applyAlignment="1">
      <alignment horizontal="right"/>
    </xf>
    <xf numFmtId="0" fontId="20" fillId="37" borderId="0" xfId="51" applyNumberFormat="1" applyAlignment="1">
      <alignment horizontal="right"/>
    </xf>
    <xf numFmtId="3" fontId="20" fillId="37" borderId="0" xfId="51" applyNumberFormat="1" applyBorder="1" applyAlignment="1">
      <alignment horizontal="right"/>
    </xf>
    <xf numFmtId="3" fontId="20" fillId="38" borderId="0" xfId="52" applyNumberFormat="1" applyAlignment="1">
      <alignment horizontal="right"/>
    </xf>
    <xf numFmtId="2" fontId="20" fillId="37" borderId="0" xfId="51" applyBorder="1" applyAlignment="1">
      <alignment horizontal="left"/>
    </xf>
    <xf numFmtId="3" fontId="32" fillId="36" borderId="0" xfId="48" applyNumberFormat="1" applyFont="1" applyAlignment="1">
      <alignment horizontal="left"/>
    </xf>
    <xf numFmtId="4" fontId="0" fillId="0" borderId="0" xfId="0" applyNumberFormat="1"/>
    <xf numFmtId="3" fontId="25" fillId="0" borderId="0" xfId="0" applyNumberFormat="1" applyFont="1"/>
    <xf numFmtId="6" fontId="0" fillId="0" borderId="0" xfId="0" applyNumberFormat="1" applyProtection="1"/>
    <xf numFmtId="8" fontId="24" fillId="0" borderId="0" xfId="0" applyNumberFormat="1" applyFont="1" applyFill="1" applyProtection="1"/>
    <xf numFmtId="6" fontId="24" fillId="0" borderId="0" xfId="0" applyNumberFormat="1" applyFont="1" applyFill="1" applyAlignment="1" applyProtection="1"/>
    <xf numFmtId="2" fontId="20" fillId="37" borderId="19" xfId="51" applyBorder="1"/>
    <xf numFmtId="2" fontId="20" fillId="37" borderId="19" xfId="51" applyBorder="1" applyAlignment="1">
      <alignment horizontal="left"/>
    </xf>
    <xf numFmtId="3" fontId="20" fillId="37" borderId="19" xfId="51" applyNumberFormat="1" applyBorder="1" applyAlignment="1">
      <alignment horizontal="right"/>
    </xf>
    <xf numFmtId="0" fontId="20" fillId="37" borderId="19" xfId="51" applyNumberFormat="1" applyBorder="1" applyAlignment="1">
      <alignment horizontal="right"/>
    </xf>
    <xf numFmtId="2" fontId="0" fillId="37" borderId="19" xfId="51" applyFont="1" applyBorder="1"/>
    <xf numFmtId="3" fontId="20" fillId="37" borderId="19" xfId="51" applyNumberFormat="1" applyBorder="1"/>
    <xf numFmtId="0" fontId="20" fillId="37" borderId="19" xfId="51" applyNumberFormat="1" applyBorder="1"/>
    <xf numFmtId="9" fontId="31" fillId="0" borderId="0" xfId="0" applyNumberFormat="1" applyFont="1"/>
    <xf numFmtId="3" fontId="24" fillId="0" borderId="0" xfId="0" applyNumberFormat="1" applyFont="1" applyFill="1" applyProtection="1"/>
    <xf numFmtId="3" fontId="20" fillId="0" borderId="0" xfId="51" applyNumberFormat="1" applyFill="1"/>
    <xf numFmtId="3" fontId="31" fillId="40" borderId="16" xfId="54" applyNumberFormat="1" applyFont="1" applyFill="1" applyBorder="1"/>
    <xf numFmtId="3" fontId="31" fillId="40" borderId="0" xfId="52" applyNumberFormat="1" applyFont="1" applyFill="1" applyAlignment="1">
      <alignment horizontal="right"/>
    </xf>
    <xf numFmtId="3" fontId="31" fillId="40" borderId="19" xfId="52" applyNumberFormat="1" applyFont="1" applyFill="1" applyBorder="1" applyAlignment="1">
      <alignment horizontal="right"/>
    </xf>
    <xf numFmtId="3" fontId="31" fillId="40" borderId="0" xfId="52" applyNumberFormat="1" applyFont="1" applyFill="1" applyAlignment="1">
      <alignment horizontal="right" wrapText="1"/>
    </xf>
    <xf numFmtId="3" fontId="31" fillId="40" borderId="20" xfId="52" applyNumberFormat="1" applyFont="1" applyFill="1" applyBorder="1" applyAlignment="1">
      <alignment horizontal="right"/>
    </xf>
    <xf numFmtId="3" fontId="31" fillId="40" borderId="20" xfId="52" applyNumberFormat="1" applyFont="1" applyFill="1" applyBorder="1" applyAlignment="1">
      <alignment horizontal="right" wrapText="1"/>
    </xf>
    <xf numFmtId="3" fontId="31" fillId="40" borderId="0" xfId="52" applyNumberFormat="1" applyFont="1" applyFill="1"/>
    <xf numFmtId="0" fontId="20" fillId="33" borderId="11" xfId="50" applyBorder="1"/>
    <xf numFmtId="0" fontId="20" fillId="33" borderId="12" xfId="50" applyBorder="1"/>
    <xf numFmtId="0" fontId="20" fillId="33" borderId="13" xfId="50" applyBorder="1"/>
    <xf numFmtId="2" fontId="20" fillId="37" borderId="15" xfId="51" applyBorder="1"/>
    <xf numFmtId="2" fontId="20" fillId="38" borderId="15" xfId="52" applyBorder="1"/>
    <xf numFmtId="1" fontId="20" fillId="39" borderId="15" xfId="53" applyBorder="1"/>
    <xf numFmtId="2" fontId="20" fillId="40" borderId="18" xfId="54" applyBorder="1"/>
    <xf numFmtId="0" fontId="24" fillId="0" borderId="0" xfId="0" applyFont="1" applyFill="1"/>
    <xf numFmtId="0" fontId="32" fillId="35" borderId="0" xfId="49" applyFont="1" applyAlignment="1">
      <alignment horizontal="center"/>
    </xf>
  </cellXfs>
  <cellStyles count="55">
    <cellStyle name="20% - Accent1" xfId="25" builtinId="30" hidden="1"/>
    <cellStyle name="20% - Accent2" xfId="29" builtinId="34" hidden="1"/>
    <cellStyle name="20% - Accent3" xfId="33" builtinId="38" hidden="1"/>
    <cellStyle name="20% - Accent4" xfId="37" builtinId="42" hidden="1"/>
    <cellStyle name="20% - Accent5" xfId="41" builtinId="46" hidden="1"/>
    <cellStyle name="20% - Accent6" xfId="45" builtinId="50" hidden="1"/>
    <cellStyle name="40% - Accent1" xfId="26" builtinId="31" hidden="1"/>
    <cellStyle name="40% - Accent2" xfId="30" builtinId="35" hidden="1"/>
    <cellStyle name="40% - Accent3" xfId="34" builtinId="39" hidden="1"/>
    <cellStyle name="40% - Accent4" xfId="38" builtinId="43" hidden="1"/>
    <cellStyle name="40% - Accent5" xfId="42" builtinId="47" hidden="1"/>
    <cellStyle name="40% - Accent6" xfId="46" builtinId="51" hidden="1"/>
    <cellStyle name="60% - Accent1" xfId="27" builtinId="32" hidden="1"/>
    <cellStyle name="60% - Accent2" xfId="31" builtinId="36" hidden="1"/>
    <cellStyle name="60% - Accent3" xfId="35" builtinId="40" hidden="1"/>
    <cellStyle name="60% - Accent4" xfId="39" builtinId="44" hidden="1"/>
    <cellStyle name="60% - Accent5" xfId="43" builtinId="48" hidden="1"/>
    <cellStyle name="60% - Accent6" xfId="47" builtinId="52" hidden="1"/>
    <cellStyle name="Accent1" xfId="24" builtinId="29" hidden="1"/>
    <cellStyle name="Accent2" xfId="28" builtinId="33" hidden="1"/>
    <cellStyle name="Accent3" xfId="32" builtinId="37" hidden="1"/>
    <cellStyle name="Accent4" xfId="36" builtinId="41" hidden="1"/>
    <cellStyle name="Accent5" xfId="40" builtinId="45" hidden="1"/>
    <cellStyle name="Accent6" xfId="44" builtinId="49" hidden="1"/>
    <cellStyle name="Bad" xfId="13" builtinId="27" hidden="1"/>
    <cellStyle name="Calculation" xfId="17" builtinId="22" hidden="1"/>
    <cellStyle name="Calculation Cell" xfId="52" xr:uid="{00000000-0005-0000-0000-00001A000000}"/>
    <cellStyle name="Check Cell" xfId="19" builtinId="23" hidden="1"/>
    <cellStyle name="Comma" xfId="2" builtinId="3" hidden="1"/>
    <cellStyle name="Comma [0]" xfId="3" builtinId="6" hidden="1"/>
    <cellStyle name="Currency" xfId="4" builtinId="4" hidden="1"/>
    <cellStyle name="Currency [0]" xfId="5" builtinId="7" hidden="1"/>
    <cellStyle name="Explanatory Text" xfId="22" builtinId="53" hidden="1"/>
    <cellStyle name="Good" xfId="12" builtinId="26" hidden="1"/>
    <cellStyle name="Header 1" xfId="1" xr:uid="{00000000-0005-0000-0000-000022000000}"/>
    <cellStyle name="Header 2" xfId="48" xr:uid="{00000000-0005-0000-0000-000023000000}"/>
    <cellStyle name="Heading 1" xfId="8" builtinId="16" hidden="1"/>
    <cellStyle name="Heading 2" xfId="9" builtinId="17" hidden="1"/>
    <cellStyle name="Heading 3" xfId="10" builtinId="18" hidden="1"/>
    <cellStyle name="Heading 4" xfId="11" builtinId="19" hidden="1"/>
    <cellStyle name="Input" xfId="15" builtinId="20" hidden="1"/>
    <cellStyle name="Input Cell" xfId="51" xr:uid="{00000000-0005-0000-0000-000029000000}"/>
    <cellStyle name="Linked Cell" xfId="18" builtinId="24" hidden="1"/>
    <cellStyle name="Neutral" xfId="14" builtinId="28" hidden="1"/>
    <cellStyle name="Normal" xfId="0" builtinId="0" customBuiltin="1"/>
    <cellStyle name="Note" xfId="21" builtinId="10" hidden="1"/>
    <cellStyle name="Output" xfId="16" builtinId="21" hidden="1"/>
    <cellStyle name="Output Cell" xfId="54" xr:uid="{00000000-0005-0000-0000-00002F000000}"/>
    <cellStyle name="Parameter Cell" xfId="53" xr:uid="{00000000-0005-0000-0000-000030000000}"/>
    <cellStyle name="Percent" xfId="6" builtinId="5" hidden="1"/>
    <cellStyle name="Table Header" xfId="49" xr:uid="{00000000-0005-0000-0000-000032000000}"/>
    <cellStyle name="Table Row Name" xfId="50" xr:uid="{00000000-0005-0000-0000-000033000000}"/>
    <cellStyle name="Title" xfId="7" builtinId="15" hidden="1"/>
    <cellStyle name="Total" xfId="23" builtinId="25" hidden="1"/>
    <cellStyle name="Warning Text" xfId="20" builtinId="11" hidden="1"/>
  </cellStyles>
  <dxfs count="0"/>
  <tableStyles count="0" defaultTableStyle="TableStyleMedium2" defaultPivotStyle="PivotStyleLight16"/>
  <colors>
    <mruColors>
      <color rgb="FF9ECCA6"/>
      <color rgb="FF9EC0DB"/>
      <color rgb="FF000000"/>
      <color rgb="FF262D33"/>
      <color rgb="FF9ECFF8"/>
      <color rgb="FF788FA6"/>
      <color rgb="FF696A6D"/>
      <color rgb="FFF6C1D1"/>
      <color rgb="FFE0D4A4"/>
      <color rgb="FFD9DA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54143558818953"/>
          <c:y val="4.8229890517803284E-2"/>
          <c:w val="0.86895141993993186"/>
          <c:h val="0.527052929284001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'Chart tables'!$B$20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'Chart tables'!$D$18:$O$19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tables'!$D$20:$O$20</c:f>
              <c:numCache>
                <c:formatCode>#,##0</c:formatCode>
                <c:ptCount val="12"/>
                <c:pt idx="0">
                  <c:v>-583074285.75448072</c:v>
                </c:pt>
                <c:pt idx="1">
                  <c:v>-756473955.44733691</c:v>
                </c:pt>
                <c:pt idx="2">
                  <c:v>-779077264.97431016</c:v>
                </c:pt>
                <c:pt idx="3">
                  <c:v>-917815620.17651618</c:v>
                </c:pt>
                <c:pt idx="4">
                  <c:v>-1145291955.1863394</c:v>
                </c:pt>
                <c:pt idx="5">
                  <c:v>-1020058372.5500923</c:v>
                </c:pt>
                <c:pt idx="6">
                  <c:v>-743397847.89989901</c:v>
                </c:pt>
                <c:pt idx="7">
                  <c:v>-975780767.98467314</c:v>
                </c:pt>
                <c:pt idx="8">
                  <c:v>-995649583.27654338</c:v>
                </c:pt>
                <c:pt idx="9">
                  <c:v>-958245336.23637605</c:v>
                </c:pt>
                <c:pt idx="10">
                  <c:v>-1301672387.0653033</c:v>
                </c:pt>
                <c:pt idx="11">
                  <c:v>-1362642802.7465215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02-4005-89A2-09FCDCF2A12A}"/>
            </c:ext>
          </c:extLst>
        </c:ser>
        <c:ser>
          <c:idx val="1"/>
          <c:order val="1"/>
          <c:tx>
            <c:strRef>
              <c:f>'Chart tables'!$B$21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'Chart tables'!$D$18:$O$19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tables'!$D$21:$O$21</c:f>
              <c:numCache>
                <c:formatCode>#,##0</c:formatCode>
                <c:ptCount val="12"/>
                <c:pt idx="0">
                  <c:v>-74989777.303553417</c:v>
                </c:pt>
                <c:pt idx="1">
                  <c:v>-97377688.721580908</c:v>
                </c:pt>
                <c:pt idx="2">
                  <c:v>-99986369.738071188</c:v>
                </c:pt>
                <c:pt idx="3">
                  <c:v>-117436821.06028177</c:v>
                </c:pt>
                <c:pt idx="4">
                  <c:v>-146861608.44068593</c:v>
                </c:pt>
                <c:pt idx="5">
                  <c:v>-130831221.53462712</c:v>
                </c:pt>
                <c:pt idx="6">
                  <c:v>-95647338.59849453</c:v>
                </c:pt>
                <c:pt idx="7">
                  <c:v>-125256380.09830308</c:v>
                </c:pt>
                <c:pt idx="8">
                  <c:v>-127812765.08970425</c:v>
                </c:pt>
                <c:pt idx="9">
                  <c:v>-123176416.95998624</c:v>
                </c:pt>
                <c:pt idx="10">
                  <c:v>-166662515.06094363</c:v>
                </c:pt>
                <c:pt idx="11">
                  <c:v>-174347660.2046001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02-4005-89A2-09FCDCF2A12A}"/>
            </c:ext>
          </c:extLst>
        </c:ser>
        <c:ser>
          <c:idx val="2"/>
          <c:order val="2"/>
          <c:tx>
            <c:strRef>
              <c:f>'Chart tables'!$B$22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'Chart tables'!$D$18:$O$19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tables'!$D$22:$O$22</c:f>
              <c:numCache>
                <c:formatCode>#,##0</c:formatCode>
                <c:ptCount val="12"/>
                <c:pt idx="0">
                  <c:v>-7479591.0872085746</c:v>
                </c:pt>
                <c:pt idx="1">
                  <c:v>9443858.7931356765</c:v>
                </c:pt>
                <c:pt idx="2">
                  <c:v>-18656837.486635573</c:v>
                </c:pt>
                <c:pt idx="3">
                  <c:v>115783826.48129158</c:v>
                </c:pt>
                <c:pt idx="4">
                  <c:v>130332377.43944189</c:v>
                </c:pt>
                <c:pt idx="5">
                  <c:v>153261804.57208744</c:v>
                </c:pt>
                <c:pt idx="6">
                  <c:v>60032699.769895032</c:v>
                </c:pt>
                <c:pt idx="7">
                  <c:v>92398649.167288929</c:v>
                </c:pt>
                <c:pt idx="8">
                  <c:v>136242204.82977128</c:v>
                </c:pt>
                <c:pt idx="9">
                  <c:v>60921757.465499409</c:v>
                </c:pt>
                <c:pt idx="10">
                  <c:v>115149978.17547132</c:v>
                </c:pt>
                <c:pt idx="11">
                  <c:v>139854366.20783654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02-4005-89A2-09FCDCF2A12A}"/>
            </c:ext>
          </c:extLst>
        </c:ser>
        <c:ser>
          <c:idx val="3"/>
          <c:order val="3"/>
          <c:tx>
            <c:strRef>
              <c:f>'Chart tables'!$B$23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'Chart tables'!$D$18:$O$19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tables'!$D$23:$O$23</c:f>
              <c:numCache>
                <c:formatCode>#,##0</c:formatCode>
                <c:ptCount val="12"/>
                <c:pt idx="0">
                  <c:v>-970490.68811830366</c:v>
                </c:pt>
                <c:pt idx="1">
                  <c:v>9894057.9336883239</c:v>
                </c:pt>
                <c:pt idx="2">
                  <c:v>9895301.5572918374</c:v>
                </c:pt>
                <c:pt idx="3">
                  <c:v>18795164.294743385</c:v>
                </c:pt>
                <c:pt idx="4">
                  <c:v>15879000.062048873</c:v>
                </c:pt>
                <c:pt idx="5">
                  <c:v>15871585.236865053</c:v>
                </c:pt>
                <c:pt idx="6">
                  <c:v>24988547.333906107</c:v>
                </c:pt>
                <c:pt idx="7">
                  <c:v>18094882.993886858</c:v>
                </c:pt>
                <c:pt idx="8">
                  <c:v>18094737.203167733</c:v>
                </c:pt>
                <c:pt idx="9">
                  <c:v>22649280.068163775</c:v>
                </c:pt>
                <c:pt idx="10">
                  <c:v>23667871.163777106</c:v>
                </c:pt>
                <c:pt idx="11">
                  <c:v>23729353.953406956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02-4005-89A2-09FCDCF2A12A}"/>
            </c:ext>
          </c:extLst>
        </c:ser>
        <c:ser>
          <c:idx val="4"/>
          <c:order val="4"/>
          <c:tx>
            <c:strRef>
              <c:f>'Chart tables'!$B$24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'Chart tables'!$D$18:$O$19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tables'!$D$24:$O$24</c:f>
              <c:numCache>
                <c:formatCode>#,##0</c:formatCode>
                <c:ptCount val="12"/>
                <c:pt idx="0">
                  <c:v>65063853.318659253</c:v>
                </c:pt>
                <c:pt idx="1">
                  <c:v>145797411.84172583</c:v>
                </c:pt>
                <c:pt idx="2">
                  <c:v>241834745.7957947</c:v>
                </c:pt>
                <c:pt idx="3">
                  <c:v>1138613243.2932301</c:v>
                </c:pt>
                <c:pt idx="4">
                  <c:v>1367350239.3169513</c:v>
                </c:pt>
                <c:pt idx="5">
                  <c:v>1316168071.8347042</c:v>
                </c:pt>
                <c:pt idx="6">
                  <c:v>1046892270.9326019</c:v>
                </c:pt>
                <c:pt idx="7">
                  <c:v>1387885807.0945179</c:v>
                </c:pt>
                <c:pt idx="8">
                  <c:v>1312735856.9470167</c:v>
                </c:pt>
                <c:pt idx="9">
                  <c:v>1156435915.2245007</c:v>
                </c:pt>
                <c:pt idx="10">
                  <c:v>1437301920.7961676</c:v>
                </c:pt>
                <c:pt idx="11">
                  <c:v>1371693999.1432395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02-4005-89A2-09FCDCF2A12A}"/>
            </c:ext>
          </c:extLst>
        </c:ser>
        <c:ser>
          <c:idx val="5"/>
          <c:order val="5"/>
          <c:tx>
            <c:strRef>
              <c:f>'Chart tables'!$B$25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'Chart tables'!$D$18:$O$19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tables'!$D$25:$O$25</c:f>
              <c:numCache>
                <c:formatCode>#,##0</c:formatCode>
                <c:ptCount val="12"/>
                <c:pt idx="0">
                  <c:v>24090427.942595992</c:v>
                </c:pt>
                <c:pt idx="1">
                  <c:v>55055491.445209473</c:v>
                </c:pt>
                <c:pt idx="2">
                  <c:v>59214461.754799746</c:v>
                </c:pt>
                <c:pt idx="3">
                  <c:v>28673317.632315807</c:v>
                </c:pt>
                <c:pt idx="4">
                  <c:v>57108913.559090711</c:v>
                </c:pt>
                <c:pt idx="5">
                  <c:v>63737122.563836128</c:v>
                </c:pt>
                <c:pt idx="6">
                  <c:v>25917108.782006279</c:v>
                </c:pt>
                <c:pt idx="7">
                  <c:v>54477328.358153135</c:v>
                </c:pt>
                <c:pt idx="8">
                  <c:v>61765342.742465407</c:v>
                </c:pt>
                <c:pt idx="9">
                  <c:v>26424151.397399031</c:v>
                </c:pt>
                <c:pt idx="10">
                  <c:v>60030856.02537445</c:v>
                </c:pt>
                <c:pt idx="11">
                  <c:v>65912586.326170459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02-4005-89A2-09FCDCF2A12A}"/>
            </c:ext>
          </c:extLst>
        </c:ser>
        <c:ser>
          <c:idx val="6"/>
          <c:order val="6"/>
          <c:tx>
            <c:strRef>
              <c:f>'Chart tables'!$B$26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multiLvlStrRef>
              <c:f>'Chart tables'!$D$18:$O$19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tables'!$D$26:$O$26</c:f>
              <c:numCache>
                <c:formatCode>#,##0</c:formatCode>
                <c:ptCount val="12"/>
                <c:pt idx="0">
                  <c:v>911008317.59527481</c:v>
                </c:pt>
                <c:pt idx="1">
                  <c:v>1173476205.5962539</c:v>
                </c:pt>
                <c:pt idx="2">
                  <c:v>1038352261.9560642</c:v>
                </c:pt>
                <c:pt idx="3">
                  <c:v>496180998.89432532</c:v>
                </c:pt>
                <c:pt idx="4">
                  <c:v>674343917.02064979</c:v>
                </c:pt>
                <c:pt idx="5">
                  <c:v>756624879.79735589</c:v>
                </c:pt>
                <c:pt idx="6">
                  <c:v>463571700.69803941</c:v>
                </c:pt>
                <c:pt idx="7">
                  <c:v>644661386.89358783</c:v>
                </c:pt>
                <c:pt idx="8">
                  <c:v>762650642.83294559</c:v>
                </c:pt>
                <c:pt idx="9">
                  <c:v>471298898.23521096</c:v>
                </c:pt>
                <c:pt idx="10">
                  <c:v>801786579.34010816</c:v>
                </c:pt>
                <c:pt idx="11">
                  <c:v>903602799.82133389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02-4005-89A2-09FCDCF2A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10934704"/>
        <c:axId val="810930112"/>
      </c:barChart>
      <c:scatterChart>
        <c:scatterStyle val="lineMarker"/>
        <c:varyColors val="0"/>
        <c:ser>
          <c:idx val="7"/>
          <c:order val="7"/>
          <c:tx>
            <c:strRef>
              <c:f>'Chart tables'!$B$27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696A6D"/>
                </a:solidFill>
              </a:ln>
              <a:effectLst/>
            </c:spPr>
          </c:marker>
          <c:yVal>
            <c:numRef>
              <c:f>'Chart tables'!$D$27:$O$27</c:f>
              <c:numCache>
                <c:formatCode>#,##0</c:formatCode>
                <c:ptCount val="12"/>
                <c:pt idx="0">
                  <c:v>333648454.02316892</c:v>
                </c:pt>
                <c:pt idx="1">
                  <c:v>539815381.44109535</c:v>
                </c:pt>
                <c:pt idx="2">
                  <c:v>451576298.86493361</c:v>
                </c:pt>
                <c:pt idx="3">
                  <c:v>762794109.35910821</c:v>
                </c:pt>
                <c:pt idx="4">
                  <c:v>952860883.77115726</c:v>
                </c:pt>
                <c:pt idx="5">
                  <c:v>1154773869.9201293</c:v>
                </c:pt>
                <c:pt idx="6">
                  <c:v>782357141.0180552</c:v>
                </c:pt>
                <c:pt idx="7">
                  <c:v>1096480906.4244583</c:v>
                </c:pt>
                <c:pt idx="8">
                  <c:v>1168026436.1891189</c:v>
                </c:pt>
                <c:pt idx="9">
                  <c:v>656308249.19441152</c:v>
                </c:pt>
                <c:pt idx="10">
                  <c:v>969602303.37465167</c:v>
                </c:pt>
                <c:pt idx="11">
                  <c:v>967802642.50086594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A02-4005-89A2-09FCDCF2A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934704"/>
        <c:axId val="810930112"/>
      </c:scatterChart>
      <c:catAx>
        <c:axId val="81093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930112"/>
        <c:crosses val="autoZero"/>
        <c:auto val="1"/>
        <c:lblAlgn val="ctr"/>
        <c:lblOffset val="100"/>
        <c:noMultiLvlLbl val="0"/>
      </c:catAx>
      <c:valAx>
        <c:axId val="810930112"/>
        <c:scaling>
          <c:orientation val="minMax"/>
          <c:min val="-25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934704"/>
        <c:crosses val="autoZero"/>
        <c:crossBetween val="between"/>
        <c:majorUnit val="1000000000"/>
        <c:minorUnit val="100000000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296970462084853E-5"/>
          <c:y val="0.81584743749792854"/>
          <c:w val="0.99794312019799591"/>
          <c:h val="0.184152562502071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Step change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4B1-4BE7-9D06-4934EDA5AC6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4B1-4BE7-9D06-4934EDA5AC6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B1-4BE7-9D06-4934EDA5AC6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74B1-4BE7-9D06-4934EDA5AC6D}"/>
              </c:ext>
            </c:extLst>
          </c:dPt>
          <c:cat>
            <c:multiLvlStrRef>
              <c:f>'Chart tables'!$D$8:$O$9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tables'!$D$11:$O$11</c:f>
              <c:numCache>
                <c:formatCode>#,##0</c:formatCode>
                <c:ptCount val="12"/>
                <c:pt idx="0">
                  <c:v>455416352.67457908</c:v>
                </c:pt>
                <c:pt idx="1">
                  <c:v>711097159.84896684</c:v>
                </c:pt>
                <c:pt idx="2">
                  <c:v>637013050.83999991</c:v>
                </c:pt>
                <c:pt idx="3">
                  <c:v>906926533.08177269</c:v>
                </c:pt>
                <c:pt idx="4">
                  <c:v>1186798462.8439693</c:v>
                </c:pt>
                <c:pt idx="5">
                  <c:v>1399206540.3677034</c:v>
                </c:pt>
                <c:pt idx="6">
                  <c:v>918330869.22196603</c:v>
                </c:pt>
                <c:pt idx="7">
                  <c:v>1369017781.8828487</c:v>
                </c:pt>
                <c:pt idx="8">
                  <c:v>1421667038.3890903</c:v>
                </c:pt>
                <c:pt idx="9">
                  <c:v>830725646.48004794</c:v>
                </c:pt>
                <c:pt idx="10">
                  <c:v>1220169676.8471794</c:v>
                </c:pt>
                <c:pt idx="11">
                  <c:v>1241409340.0526121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4B1-4BE7-9D06-4934EDA5A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in val="-2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Slow change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38D-415C-B38B-79C9159739A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38D-415C-B38B-79C9159739AF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8D-415C-B38B-79C9159739AF}"/>
              </c:ext>
            </c:extLst>
          </c:dPt>
          <c:cat>
            <c:multiLvlStrRef>
              <c:f>'Chart tables'!$D$8:$O$9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tables'!$D$12:$O$12</c:f>
              <c:numCache>
                <c:formatCode>#,##0</c:formatCode>
                <c:ptCount val="12"/>
                <c:pt idx="0">
                  <c:v>238863408.41028622</c:v>
                </c:pt>
                <c:pt idx="1">
                  <c:v>341456573.31314313</c:v>
                </c:pt>
                <c:pt idx="2">
                  <c:v>229413528.49103364</c:v>
                </c:pt>
                <c:pt idx="3">
                  <c:v>119106074.04812038</c:v>
                </c:pt>
                <c:pt idx="4">
                  <c:v>171039401.53717026</c:v>
                </c:pt>
                <c:pt idx="5">
                  <c:v>366065327.71506983</c:v>
                </c:pt>
                <c:pt idx="6">
                  <c:v>165892333.35216227</c:v>
                </c:pt>
                <c:pt idx="7">
                  <c:v>261148086.69144991</c:v>
                </c:pt>
                <c:pt idx="8">
                  <c:v>380387916.19759452</c:v>
                </c:pt>
                <c:pt idx="9">
                  <c:v>-11080596.406774638</c:v>
                </c:pt>
                <c:pt idx="10">
                  <c:v>123152308.06364262</c:v>
                </c:pt>
                <c:pt idx="11">
                  <c:v>90607403.468022376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8D-415C-B38B-79C915973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ax val="16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AU" b="0"/>
              <a:t>Fast change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3E8-43AF-A667-E975078FD4D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3E8-43AF-A667-E975078FD4D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E8-43AF-A667-E975078FD4D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3E8-43AF-A667-E975078FD4D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3E8-43AF-A667-E975078FD4DD}"/>
              </c:ext>
            </c:extLst>
          </c:dPt>
          <c:cat>
            <c:multiLvlStrRef>
              <c:f>'Chart tables'!$D$8:$O$9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tables'!$D$13:$O$13</c:f>
              <c:numCache>
                <c:formatCode>#,##0</c:formatCode>
                <c:ptCount val="12"/>
                <c:pt idx="0">
                  <c:v>387327188.50450069</c:v>
                </c:pt>
                <c:pt idx="1">
                  <c:v>657720870.59174204</c:v>
                </c:pt>
                <c:pt idx="2">
                  <c:v>587454818.19743395</c:v>
                </c:pt>
                <c:pt idx="3">
                  <c:v>952693007.313205</c:v>
                </c:pt>
                <c:pt idx="4">
                  <c:v>1230724129.971895</c:v>
                </c:pt>
                <c:pt idx="5">
                  <c:v>1422051115.8175306</c:v>
                </c:pt>
                <c:pt idx="6">
                  <c:v>966472497.13880813</c:v>
                </c:pt>
                <c:pt idx="7">
                  <c:v>1398957892.032712</c:v>
                </c:pt>
                <c:pt idx="8">
                  <c:v>1438523599.7946053</c:v>
                </c:pt>
                <c:pt idx="9">
                  <c:v>879329266.19749546</c:v>
                </c:pt>
                <c:pt idx="10">
                  <c:v>1291398512.9490919</c:v>
                </c:pt>
                <c:pt idx="11">
                  <c:v>1279265400.9398401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E8-43AF-A667-E975078F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in val="-2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4E2-4C86-BFB7-F29ECCBD461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4E2-4C86-BFB7-F29ECCBD461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4E2-4C86-BFB7-F29ECCBD461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4E2-4C86-BFB7-F29ECCBD4618}"/>
              </c:ext>
            </c:extLst>
          </c:dPt>
          <c:cat>
            <c:multiLvlStrRef>
              <c:f>'Chart tables'!$D$8:$O$9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tables'!$D$10:$O$10</c:f>
              <c:numCache>
                <c:formatCode>#,##0</c:formatCode>
                <c:ptCount val="12"/>
                <c:pt idx="0">
                  <c:v>333648454.02316904</c:v>
                </c:pt>
                <c:pt idx="1">
                  <c:v>539815381.44109583</c:v>
                </c:pt>
                <c:pt idx="2">
                  <c:v>451576298.86493337</c:v>
                </c:pt>
                <c:pt idx="3">
                  <c:v>762794109.35910845</c:v>
                </c:pt>
                <c:pt idx="4">
                  <c:v>952860883.77115726</c:v>
                </c:pt>
                <c:pt idx="5">
                  <c:v>1154773869.9201288</c:v>
                </c:pt>
                <c:pt idx="6">
                  <c:v>782357141.01805532</c:v>
                </c:pt>
                <c:pt idx="7">
                  <c:v>1096480906.4244585</c:v>
                </c:pt>
                <c:pt idx="8">
                  <c:v>1168026436.1891193</c:v>
                </c:pt>
                <c:pt idx="9">
                  <c:v>656308249.1944114</c:v>
                </c:pt>
                <c:pt idx="10">
                  <c:v>969602303.37465107</c:v>
                </c:pt>
                <c:pt idx="11">
                  <c:v>967802642.50086617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E2-4C86-BFB7-F29ECCBD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ax val="1600000000"/>
          <c:min val="-2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428-49E5-AD19-7A9DCCEC492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4428-49E5-AD19-7A9DCCEC492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28-49E5-AD19-7A9DCCEC492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428-49E5-AD19-7A9DCCEC492B}"/>
              </c:ext>
            </c:extLst>
          </c:dPt>
          <c:cat>
            <c:multiLvlStrRef>
              <c:f>'Chart tables'!$D$8:$O$9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tables'!$D$11:$O$11</c:f>
              <c:numCache>
                <c:formatCode>#,##0</c:formatCode>
                <c:ptCount val="12"/>
                <c:pt idx="0">
                  <c:v>455416352.67457908</c:v>
                </c:pt>
                <c:pt idx="1">
                  <c:v>711097159.84896684</c:v>
                </c:pt>
                <c:pt idx="2">
                  <c:v>637013050.83999991</c:v>
                </c:pt>
                <c:pt idx="3">
                  <c:v>906926533.08177269</c:v>
                </c:pt>
                <c:pt idx="4">
                  <c:v>1186798462.8439693</c:v>
                </c:pt>
                <c:pt idx="5">
                  <c:v>1399206540.3677034</c:v>
                </c:pt>
                <c:pt idx="6">
                  <c:v>918330869.22196603</c:v>
                </c:pt>
                <c:pt idx="7">
                  <c:v>1369017781.8828487</c:v>
                </c:pt>
                <c:pt idx="8">
                  <c:v>1421667038.3890903</c:v>
                </c:pt>
                <c:pt idx="9">
                  <c:v>830725646.48004794</c:v>
                </c:pt>
                <c:pt idx="10">
                  <c:v>1220169676.8471794</c:v>
                </c:pt>
                <c:pt idx="11">
                  <c:v>1241409340.0526121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28-49E5-AD19-7A9DCCEC4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in val="-2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FC9-4FF5-B476-4C7D8D020D6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FC9-4FF5-B476-4C7D8D020D6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C9-4FF5-B476-4C7D8D020D6E}"/>
              </c:ext>
            </c:extLst>
          </c:dPt>
          <c:cat>
            <c:multiLvlStrRef>
              <c:f>'Chart tables'!$D$8:$O$9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tables'!$D$12:$O$12</c:f>
              <c:numCache>
                <c:formatCode>#,##0</c:formatCode>
                <c:ptCount val="12"/>
                <c:pt idx="0">
                  <c:v>238863408.41028622</c:v>
                </c:pt>
                <c:pt idx="1">
                  <c:v>341456573.31314313</c:v>
                </c:pt>
                <c:pt idx="2">
                  <c:v>229413528.49103364</c:v>
                </c:pt>
                <c:pt idx="3">
                  <c:v>119106074.04812038</c:v>
                </c:pt>
                <c:pt idx="4">
                  <c:v>171039401.53717026</c:v>
                </c:pt>
                <c:pt idx="5">
                  <c:v>366065327.71506983</c:v>
                </c:pt>
                <c:pt idx="6">
                  <c:v>165892333.35216227</c:v>
                </c:pt>
                <c:pt idx="7">
                  <c:v>261148086.69144991</c:v>
                </c:pt>
                <c:pt idx="8">
                  <c:v>380387916.19759452</c:v>
                </c:pt>
                <c:pt idx="9">
                  <c:v>-11080596.406774638</c:v>
                </c:pt>
                <c:pt idx="10">
                  <c:v>123152308.06364262</c:v>
                </c:pt>
                <c:pt idx="11">
                  <c:v>90607403.468022376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C9-4FF5-B476-4C7D8D020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ax val="16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C7A-4F19-BBD6-4251A633A88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4C7A-4F19-BBD6-4251A633A88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7A-4F19-BBD6-4251A633A88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C7A-4F19-BBD6-4251A633A88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C7A-4F19-BBD6-4251A633A881}"/>
              </c:ext>
            </c:extLst>
          </c:dPt>
          <c:cat>
            <c:multiLvlStrRef>
              <c:f>'Chart tables'!$D$8:$O$9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tables'!$D$13:$O$13</c:f>
              <c:numCache>
                <c:formatCode>#,##0</c:formatCode>
                <c:ptCount val="12"/>
                <c:pt idx="0">
                  <c:v>387327188.50450069</c:v>
                </c:pt>
                <c:pt idx="1">
                  <c:v>657720870.59174204</c:v>
                </c:pt>
                <c:pt idx="2">
                  <c:v>587454818.19743395</c:v>
                </c:pt>
                <c:pt idx="3">
                  <c:v>952693007.313205</c:v>
                </c:pt>
                <c:pt idx="4">
                  <c:v>1230724129.971895</c:v>
                </c:pt>
                <c:pt idx="5">
                  <c:v>1422051115.8175306</c:v>
                </c:pt>
                <c:pt idx="6">
                  <c:v>966472497.13880813</c:v>
                </c:pt>
                <c:pt idx="7">
                  <c:v>1398957892.032712</c:v>
                </c:pt>
                <c:pt idx="8">
                  <c:v>1438523599.7946053</c:v>
                </c:pt>
                <c:pt idx="9">
                  <c:v>879329266.19749546</c:v>
                </c:pt>
                <c:pt idx="10">
                  <c:v>1291398512.9490919</c:v>
                </c:pt>
                <c:pt idx="11">
                  <c:v>1279265400.9398401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7A-4F19-BBD6-4251A633A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in val="-2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556-4469-96D0-567701CECD6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C556-4469-96D0-567701CECD6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556-4469-96D0-567701CECD6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556-4469-96D0-567701CECD68}"/>
              </c:ext>
            </c:extLst>
          </c:dPt>
          <c:cat>
            <c:multiLvlStrRef>
              <c:f>'Chart tables'!$D$8:$O$9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tables'!$D$14:$O$14</c:f>
              <c:numCache>
                <c:formatCode>#,##0</c:formatCode>
                <c:ptCount val="12"/>
                <c:pt idx="0">
                  <c:v>353813850.90313375</c:v>
                </c:pt>
                <c:pt idx="1">
                  <c:v>562522496.29873693</c:v>
                </c:pt>
                <c:pt idx="2">
                  <c:v>476364424.09835017</c:v>
                </c:pt>
                <c:pt idx="3">
                  <c:v>685379930.95055175</c:v>
                </c:pt>
                <c:pt idx="4">
                  <c:v>885355719.53104806</c:v>
                </c:pt>
                <c:pt idx="5">
                  <c:v>1085524213.4551082</c:v>
                </c:pt>
                <c:pt idx="6">
                  <c:v>708263210.18274796</c:v>
                </c:pt>
                <c:pt idx="7">
                  <c:v>1031401166.7578673</c:v>
                </c:pt>
                <c:pt idx="8">
                  <c:v>1102151247.6426024</c:v>
                </c:pt>
                <c:pt idx="9">
                  <c:v>588820641.3662951</c:v>
                </c:pt>
                <c:pt idx="10">
                  <c:v>901080700.3086412</c:v>
                </c:pt>
                <c:pt idx="11">
                  <c:v>894771196.74033523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56-4469-96D0-567701CEC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ax val="1600000000"/>
          <c:min val="-2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54143558818953"/>
          <c:y val="4.8229890517803284E-2"/>
          <c:w val="0.86895141993993186"/>
          <c:h val="0.527052929284001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'Chart tables'!$B$31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'Chart tables'!$D$29:$O$30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tables'!$D$31:$O$31</c:f>
              <c:numCache>
                <c:formatCode>#,##0</c:formatCode>
                <c:ptCount val="12"/>
                <c:pt idx="0">
                  <c:v>-583074285.75448072</c:v>
                </c:pt>
                <c:pt idx="1">
                  <c:v>-772059865.58759046</c:v>
                </c:pt>
                <c:pt idx="2">
                  <c:v>-779077264.97431016</c:v>
                </c:pt>
                <c:pt idx="3">
                  <c:v>-917815620.17651618</c:v>
                </c:pt>
                <c:pt idx="4">
                  <c:v>-1173000239.8801236</c:v>
                </c:pt>
                <c:pt idx="5">
                  <c:v>-1020058372.5500923</c:v>
                </c:pt>
                <c:pt idx="6">
                  <c:v>-743397847.89989901</c:v>
                </c:pt>
                <c:pt idx="7">
                  <c:v>-998464230.3928206</c:v>
                </c:pt>
                <c:pt idx="8">
                  <c:v>-995649583.27654338</c:v>
                </c:pt>
                <c:pt idx="9">
                  <c:v>-958245336.23637605</c:v>
                </c:pt>
                <c:pt idx="10">
                  <c:v>-1348542432.8845477</c:v>
                </c:pt>
                <c:pt idx="11">
                  <c:v>-1362642802.7465215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49DD-40CE-AA51-7ECDE4074307}"/>
            </c:ext>
          </c:extLst>
        </c:ser>
        <c:ser>
          <c:idx val="1"/>
          <c:order val="1"/>
          <c:tx>
            <c:strRef>
              <c:f>'Chart tables'!$B$32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'Chart tables'!$D$29:$O$30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tables'!$D$32:$O$32</c:f>
              <c:numCache>
                <c:formatCode>#,##0</c:formatCode>
                <c:ptCount val="12"/>
                <c:pt idx="0">
                  <c:v>-74989777.303553417</c:v>
                </c:pt>
                <c:pt idx="1">
                  <c:v>-99599028.666178972</c:v>
                </c:pt>
                <c:pt idx="2">
                  <c:v>-99986369.738071188</c:v>
                </c:pt>
                <c:pt idx="3">
                  <c:v>-117436821.06028177</c:v>
                </c:pt>
                <c:pt idx="4">
                  <c:v>-150810657.23108253</c:v>
                </c:pt>
                <c:pt idx="5">
                  <c:v>-130831221.53462712</c:v>
                </c:pt>
                <c:pt idx="6">
                  <c:v>-95647338.59849453</c:v>
                </c:pt>
                <c:pt idx="7">
                  <c:v>-128408024.80602343</c:v>
                </c:pt>
                <c:pt idx="8">
                  <c:v>-127812765.08970425</c:v>
                </c:pt>
                <c:pt idx="9">
                  <c:v>-123176416.95998624</c:v>
                </c:pt>
                <c:pt idx="10">
                  <c:v>-173174648.40279958</c:v>
                </c:pt>
                <c:pt idx="11">
                  <c:v>-174347660.2046001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49DD-40CE-AA51-7ECDE4074307}"/>
            </c:ext>
          </c:extLst>
        </c:ser>
        <c:ser>
          <c:idx val="2"/>
          <c:order val="2"/>
          <c:tx>
            <c:strRef>
              <c:f>'Chart tables'!$B$33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'Chart tables'!$D$29:$O$30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tables'!$D$33:$O$33</c:f>
              <c:numCache>
                <c:formatCode>#,##0</c:formatCode>
                <c:ptCount val="12"/>
                <c:pt idx="0">
                  <c:v>56630018.259023607</c:v>
                </c:pt>
                <c:pt idx="1">
                  <c:v>64796131.348174199</c:v>
                </c:pt>
                <c:pt idx="2">
                  <c:v>12106076.054721924</c:v>
                </c:pt>
                <c:pt idx="3">
                  <c:v>136339671.13663122</c:v>
                </c:pt>
                <c:pt idx="4">
                  <c:v>159361553.72100088</c:v>
                </c:pt>
                <c:pt idx="5">
                  <c:v>189063409.30221945</c:v>
                </c:pt>
                <c:pt idx="6">
                  <c:v>99173013.168795228</c:v>
                </c:pt>
                <c:pt idx="7">
                  <c:v>136657751.29900929</c:v>
                </c:pt>
                <c:pt idx="8">
                  <c:v>172713166.11260259</c:v>
                </c:pt>
                <c:pt idx="9">
                  <c:v>96899090.078174457</c:v>
                </c:pt>
                <c:pt idx="10">
                  <c:v>155179827.9700287</c:v>
                </c:pt>
                <c:pt idx="11">
                  <c:v>177551500.68968886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49DD-40CE-AA51-7ECDE4074307}"/>
            </c:ext>
          </c:extLst>
        </c:ser>
        <c:ser>
          <c:idx val="3"/>
          <c:order val="3"/>
          <c:tx>
            <c:strRef>
              <c:f>'Chart tables'!$B$34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'Chart tables'!$D$29:$O$30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tables'!$D$34:$O$34</c:f>
              <c:numCache>
                <c:formatCode>#,##0</c:formatCode>
                <c:ptCount val="12"/>
                <c:pt idx="0">
                  <c:v>27075280.509753775</c:v>
                </c:pt>
                <c:pt idx="1">
                  <c:v>59712459.536802992</c:v>
                </c:pt>
                <c:pt idx="2">
                  <c:v>52210770.314491212</c:v>
                </c:pt>
                <c:pt idx="3">
                  <c:v>120211861.8217386</c:v>
                </c:pt>
                <c:pt idx="4">
                  <c:v>180825012.97613254</c:v>
                </c:pt>
                <c:pt idx="5">
                  <c:v>182694322.9857904</c:v>
                </c:pt>
                <c:pt idx="6">
                  <c:v>118235971.89303522</c:v>
                </c:pt>
                <c:pt idx="7">
                  <c:v>177116062.32260162</c:v>
                </c:pt>
                <c:pt idx="8">
                  <c:v>179704892.64391878</c:v>
                </c:pt>
                <c:pt idx="9">
                  <c:v>126975594.75567171</c:v>
                </c:pt>
                <c:pt idx="10">
                  <c:v>208220961.90962017</c:v>
                </c:pt>
                <c:pt idx="11">
                  <c:v>210688657.59949407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49DD-40CE-AA51-7ECDE4074307}"/>
            </c:ext>
          </c:extLst>
        </c:ser>
        <c:ser>
          <c:idx val="4"/>
          <c:order val="4"/>
          <c:tx>
            <c:strRef>
              <c:f>'Chart tables'!$B$35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'Chart tables'!$D$29:$O$30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tables'!$D$35:$O$35</c:f>
              <c:numCache>
                <c:formatCode>#,##0</c:formatCode>
                <c:ptCount val="12"/>
                <c:pt idx="0">
                  <c:v>183083804.66928729</c:v>
                </c:pt>
                <c:pt idx="1">
                  <c:v>298693549.52820766</c:v>
                </c:pt>
                <c:pt idx="2">
                  <c:v>308360433.09681135</c:v>
                </c:pt>
                <c:pt idx="3">
                  <c:v>980105346.56725693</c:v>
                </c:pt>
                <c:pt idx="4">
                  <c:v>1148215871.4192984</c:v>
                </c:pt>
                <c:pt idx="5">
                  <c:v>1137994661.6789231</c:v>
                </c:pt>
                <c:pt idx="6">
                  <c:v>892018343.00724053</c:v>
                </c:pt>
                <c:pt idx="7">
                  <c:v>1169606999.2352028</c:v>
                </c:pt>
                <c:pt idx="8">
                  <c:v>1155553318.5851133</c:v>
                </c:pt>
                <c:pt idx="9">
                  <c:v>986965946.48752618</c:v>
                </c:pt>
                <c:pt idx="10">
                  <c:v>1209433379.4399037</c:v>
                </c:pt>
                <c:pt idx="11">
                  <c:v>1194061957.6820722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49DD-40CE-AA51-7ECDE4074307}"/>
            </c:ext>
          </c:extLst>
        </c:ser>
        <c:ser>
          <c:idx val="5"/>
          <c:order val="5"/>
          <c:tx>
            <c:strRef>
              <c:f>'Chart tables'!$B$36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'Chart tables'!$D$29:$O$30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tables'!$D$36:$O$36</c:f>
              <c:numCache>
                <c:formatCode>#,##0</c:formatCode>
                <c:ptCount val="12"/>
                <c:pt idx="0">
                  <c:v>48595042.284007378</c:v>
                </c:pt>
                <c:pt idx="1">
                  <c:v>105571952.35626242</c:v>
                </c:pt>
                <c:pt idx="2">
                  <c:v>98347724.038060784</c:v>
                </c:pt>
                <c:pt idx="3">
                  <c:v>52605699.002755396</c:v>
                </c:pt>
                <c:pt idx="4">
                  <c:v>94021784.576762989</c:v>
                </c:pt>
                <c:pt idx="5">
                  <c:v>95313286.074231118</c:v>
                </c:pt>
                <c:pt idx="6">
                  <c:v>44668495.628297605</c:v>
                </c:pt>
                <c:pt idx="7">
                  <c:v>93773137.03387925</c:v>
                </c:pt>
                <c:pt idx="8">
                  <c:v>94475940.811331272</c:v>
                </c:pt>
                <c:pt idx="9">
                  <c:v>45984698.323086411</c:v>
                </c:pt>
                <c:pt idx="10">
                  <c:v>130207563.20823532</c:v>
                </c:pt>
                <c:pt idx="11">
                  <c:v>130622671.52297761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B-49DD-40CE-AA51-7ECDE4074307}"/>
            </c:ext>
          </c:extLst>
        </c:ser>
        <c:ser>
          <c:idx val="6"/>
          <c:order val="6"/>
          <c:tx>
            <c:strRef>
              <c:f>'Chart tables'!$B$37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multiLvlStrRef>
              <c:f>'Chart tables'!$D$29:$O$30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tables'!$D$37:$O$37</c:f>
              <c:numCache>
                <c:formatCode>#,##0</c:formatCode>
                <c:ptCount val="12"/>
                <c:pt idx="0">
                  <c:v>798096270.01054108</c:v>
                </c:pt>
                <c:pt idx="1">
                  <c:v>1053981961.3332888</c:v>
                </c:pt>
                <c:pt idx="2">
                  <c:v>1045051682.0482962</c:v>
                </c:pt>
                <c:pt idx="3">
                  <c:v>652916395.79018843</c:v>
                </c:pt>
                <c:pt idx="4">
                  <c:v>928185137.2619803</c:v>
                </c:pt>
                <c:pt idx="5">
                  <c:v>945030454.4112587</c:v>
                </c:pt>
                <c:pt idx="6">
                  <c:v>603280232.02299094</c:v>
                </c:pt>
                <c:pt idx="7">
                  <c:v>918736087.19100022</c:v>
                </c:pt>
                <c:pt idx="8">
                  <c:v>942682068.60237241</c:v>
                </c:pt>
                <c:pt idx="9">
                  <c:v>655322070.03195119</c:v>
                </c:pt>
                <c:pt idx="10">
                  <c:v>1038845025.6067388</c:v>
                </c:pt>
                <c:pt idx="11">
                  <c:v>1065475015.5095007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D-49DD-40CE-AA51-7ECDE4074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10934704"/>
        <c:axId val="810930112"/>
      </c:barChart>
      <c:scatterChart>
        <c:scatterStyle val="lineMarker"/>
        <c:varyColors val="0"/>
        <c:ser>
          <c:idx val="7"/>
          <c:order val="7"/>
          <c:tx>
            <c:strRef>
              <c:f>'Chart tables'!$B$38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696A6D"/>
                </a:solidFill>
              </a:ln>
              <a:effectLst/>
            </c:spPr>
          </c:marker>
          <c:yVal>
            <c:numRef>
              <c:f>'Chart tables'!$D$38:$O$38</c:f>
              <c:numCache>
                <c:formatCode>#,##0</c:formatCode>
                <c:ptCount val="12"/>
                <c:pt idx="0">
                  <c:v>455416352.67457908</c:v>
                </c:pt>
                <c:pt idx="1">
                  <c:v>711097159.84896672</c:v>
                </c:pt>
                <c:pt idx="2">
                  <c:v>637013050.84000015</c:v>
                </c:pt>
                <c:pt idx="3">
                  <c:v>906926533.08177269</c:v>
                </c:pt>
                <c:pt idx="4">
                  <c:v>1186798462.8439691</c:v>
                </c:pt>
                <c:pt idx="5">
                  <c:v>1399206540.3677034</c:v>
                </c:pt>
                <c:pt idx="6">
                  <c:v>918330869.22196603</c:v>
                </c:pt>
                <c:pt idx="7">
                  <c:v>1369017781.8828492</c:v>
                </c:pt>
                <c:pt idx="8">
                  <c:v>1421667038.3890905</c:v>
                </c:pt>
                <c:pt idx="9">
                  <c:v>830725646.4800477</c:v>
                </c:pt>
                <c:pt idx="10">
                  <c:v>1220169676.8471792</c:v>
                </c:pt>
                <c:pt idx="11">
                  <c:v>1241409340.0526118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F-49DD-40CE-AA51-7ECDE4074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934704"/>
        <c:axId val="810930112"/>
      </c:scatterChart>
      <c:catAx>
        <c:axId val="81093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930112"/>
        <c:crosses val="autoZero"/>
        <c:auto val="1"/>
        <c:lblAlgn val="ctr"/>
        <c:lblOffset val="100"/>
        <c:noMultiLvlLbl val="0"/>
      </c:catAx>
      <c:valAx>
        <c:axId val="810930112"/>
        <c:scaling>
          <c:orientation val="minMax"/>
          <c:max val="3500000000"/>
          <c:min val="-25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934704"/>
        <c:crosses val="autoZero"/>
        <c:crossBetween val="between"/>
        <c:majorUnit val="1000000000"/>
        <c:minorUnit val="100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9.6296970462084853E-5"/>
          <c:y val="0.81584743749792854"/>
          <c:w val="0.99794312019799591"/>
          <c:h val="0.184152562502071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54143558818953"/>
          <c:y val="4.8229890517803284E-2"/>
          <c:w val="0.86895141993993186"/>
          <c:h val="0.513899322779146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'Chart tables'!$B$42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'Chart tables'!$D$40:$O$41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tables'!$D$42:$O$42</c:f>
              <c:numCache>
                <c:formatCode>#,##0</c:formatCode>
                <c:ptCount val="12"/>
                <c:pt idx="0">
                  <c:v>-583074285.75448072</c:v>
                </c:pt>
                <c:pt idx="1">
                  <c:v>-731360764.84034252</c:v>
                </c:pt>
                <c:pt idx="2">
                  <c:v>-779077264.97431016</c:v>
                </c:pt>
                <c:pt idx="3">
                  <c:v>-917815620.17651618</c:v>
                </c:pt>
                <c:pt idx="4">
                  <c:v>-1100646282.9961269</c:v>
                </c:pt>
                <c:pt idx="5">
                  <c:v>-1020058372.5500923</c:v>
                </c:pt>
                <c:pt idx="6">
                  <c:v>-743397847.89989901</c:v>
                </c:pt>
                <c:pt idx="7">
                  <c:v>-939265851.90051985</c:v>
                </c:pt>
                <c:pt idx="8">
                  <c:v>-995649583.27654338</c:v>
                </c:pt>
                <c:pt idx="9">
                  <c:v>-958245336.23637605</c:v>
                </c:pt>
                <c:pt idx="10">
                  <c:v>-1226222891.7829869</c:v>
                </c:pt>
                <c:pt idx="11">
                  <c:v>-1362642802.7465215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219-49B0-8858-F7ED97A78C70}"/>
            </c:ext>
          </c:extLst>
        </c:ser>
        <c:ser>
          <c:idx val="1"/>
          <c:order val="1"/>
          <c:tx>
            <c:strRef>
              <c:f>'Chart tables'!$B$43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'Chart tables'!$D$40:$O$41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tables'!$D$43:$O$43</c:f>
              <c:numCache>
                <c:formatCode>#,##0</c:formatCode>
                <c:ptCount val="12"/>
                <c:pt idx="0">
                  <c:v>-74989777.303553417</c:v>
                </c:pt>
                <c:pt idx="1">
                  <c:v>-93932470.110035181</c:v>
                </c:pt>
                <c:pt idx="2">
                  <c:v>-99986369.738071188</c:v>
                </c:pt>
                <c:pt idx="3">
                  <c:v>-117436821.06028177</c:v>
                </c:pt>
                <c:pt idx="4">
                  <c:v>-140736775.35349354</c:v>
                </c:pt>
                <c:pt idx="5">
                  <c:v>-130831221.53462712</c:v>
                </c:pt>
                <c:pt idx="6">
                  <c:v>-95647338.59849453</c:v>
                </c:pt>
                <c:pt idx="7">
                  <c:v>-120368292.15371686</c:v>
                </c:pt>
                <c:pt idx="8">
                  <c:v>-127812765.08970425</c:v>
                </c:pt>
                <c:pt idx="9">
                  <c:v>-123176416.95998624</c:v>
                </c:pt>
                <c:pt idx="10">
                  <c:v>-156562429.72966006</c:v>
                </c:pt>
                <c:pt idx="11">
                  <c:v>-174347660.2046001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219-49B0-8858-F7ED97A78C70}"/>
            </c:ext>
          </c:extLst>
        </c:ser>
        <c:ser>
          <c:idx val="2"/>
          <c:order val="2"/>
          <c:tx>
            <c:strRef>
              <c:f>'Chart tables'!$B$44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'Chart tables'!$D$40:$O$41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tables'!$D$44:$O$44</c:f>
              <c:numCache>
                <c:formatCode>#,##0</c:formatCode>
                <c:ptCount val="12"/>
                <c:pt idx="0">
                  <c:v>-24903616.802477516</c:v>
                </c:pt>
                <c:pt idx="1">
                  <c:v>8306193.0907256696</c:v>
                </c:pt>
                <c:pt idx="2">
                  <c:v>-68774195.777095184</c:v>
                </c:pt>
                <c:pt idx="3">
                  <c:v>104985512.06677863</c:v>
                </c:pt>
                <c:pt idx="4">
                  <c:v>132652784.13924606</c:v>
                </c:pt>
                <c:pt idx="5">
                  <c:v>184052429.56468689</c:v>
                </c:pt>
                <c:pt idx="6">
                  <c:v>33372283.790244989</c:v>
                </c:pt>
                <c:pt idx="7">
                  <c:v>73871131.427701399</c:v>
                </c:pt>
                <c:pt idx="8">
                  <c:v>161149273.24234873</c:v>
                </c:pt>
                <c:pt idx="9">
                  <c:v>35802152.825166449</c:v>
                </c:pt>
                <c:pt idx="10">
                  <c:v>128466566.06914526</c:v>
                </c:pt>
                <c:pt idx="11">
                  <c:v>168552489.09815148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D219-49B0-8858-F7ED97A78C70}"/>
            </c:ext>
          </c:extLst>
        </c:ser>
        <c:ser>
          <c:idx val="3"/>
          <c:order val="3"/>
          <c:tx>
            <c:strRef>
              <c:f>'Chart tables'!$B$45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'Chart tables'!$D$40:$O$41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tables'!$D$45:$O$45</c:f>
              <c:numCache>
                <c:formatCode>#,##0</c:formatCode>
                <c:ptCount val="12"/>
                <c:pt idx="0">
                  <c:v>-7977065.6352008628</c:v>
                </c:pt>
                <c:pt idx="1">
                  <c:v>-9121651.382484654</c:v>
                </c:pt>
                <c:pt idx="2">
                  <c:v>-9124941.4580989052</c:v>
                </c:pt>
                <c:pt idx="3">
                  <c:v>4001630.9649384608</c:v>
                </c:pt>
                <c:pt idx="4">
                  <c:v>-820208.70566342736</c:v>
                </c:pt>
                <c:pt idx="5">
                  <c:v>-830527.27258473553</c:v>
                </c:pt>
                <c:pt idx="6">
                  <c:v>-2124657.2861117222</c:v>
                </c:pt>
                <c:pt idx="7">
                  <c:v>-830539.4388196494</c:v>
                </c:pt>
                <c:pt idx="8">
                  <c:v>-849186.13556849898</c:v>
                </c:pt>
                <c:pt idx="9">
                  <c:v>-1891402.2219912796</c:v>
                </c:pt>
                <c:pt idx="10">
                  <c:v>3265696.9371195268</c:v>
                </c:pt>
                <c:pt idx="11">
                  <c:v>3253118.4026878313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D219-49B0-8858-F7ED97A78C70}"/>
            </c:ext>
          </c:extLst>
        </c:ser>
        <c:ser>
          <c:idx val="4"/>
          <c:order val="4"/>
          <c:tx>
            <c:strRef>
              <c:f>'Chart tables'!$B$46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'Chart tables'!$D$40:$O$41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tables'!$D$46:$O$46</c:f>
              <c:numCache>
                <c:formatCode>#,##0</c:formatCode>
                <c:ptCount val="12"/>
                <c:pt idx="0">
                  <c:v>29460922.180528816</c:v>
                </c:pt>
                <c:pt idx="1">
                  <c:v>84617954.46543856</c:v>
                </c:pt>
                <c:pt idx="2">
                  <c:v>107287427.06601155</c:v>
                </c:pt>
                <c:pt idx="3">
                  <c:v>57397218.104128756</c:v>
                </c:pt>
                <c:pt idx="4">
                  <c:v>103181897.13222052</c:v>
                </c:pt>
                <c:pt idx="5">
                  <c:v>68814196.104302257</c:v>
                </c:pt>
                <c:pt idx="6">
                  <c:v>105566150.53336525</c:v>
                </c:pt>
                <c:pt idx="7">
                  <c:v>156217781.44784367</c:v>
                </c:pt>
                <c:pt idx="8">
                  <c:v>70960128.691371933</c:v>
                </c:pt>
                <c:pt idx="9">
                  <c:v>132353250.9632583</c:v>
                </c:pt>
                <c:pt idx="10">
                  <c:v>144002191.10406631</c:v>
                </c:pt>
                <c:pt idx="11">
                  <c:v>71564897.923096642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219-49B0-8858-F7ED97A78C70}"/>
            </c:ext>
          </c:extLst>
        </c:ser>
        <c:ser>
          <c:idx val="5"/>
          <c:order val="5"/>
          <c:tx>
            <c:strRef>
              <c:f>'Chart tables'!$B$47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'Chart tables'!$D$40:$O$41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tables'!$D$47:$O$47</c:f>
              <c:numCache>
                <c:formatCode>#,##0</c:formatCode>
                <c:ptCount val="12"/>
                <c:pt idx="0">
                  <c:v>4747429.6315776818</c:v>
                </c:pt>
                <c:pt idx="1">
                  <c:v>5299961.5944080371</c:v>
                </c:pt>
                <c:pt idx="2">
                  <c:v>13356339.84889454</c:v>
                </c:pt>
                <c:pt idx="3">
                  <c:v>6367757.6051533986</c:v>
                </c:pt>
                <c:pt idx="4">
                  <c:v>10214758.067411099</c:v>
                </c:pt>
                <c:pt idx="5">
                  <c:v>19313385.018707555</c:v>
                </c:pt>
                <c:pt idx="6">
                  <c:v>7143780.7259319667</c:v>
                </c:pt>
                <c:pt idx="7">
                  <c:v>10549529.194981819</c:v>
                </c:pt>
                <c:pt idx="8">
                  <c:v>18733955.829928115</c:v>
                </c:pt>
                <c:pt idx="9">
                  <c:v>8779174.3271254096</c:v>
                </c:pt>
                <c:pt idx="10">
                  <c:v>10499221.676432915</c:v>
                </c:pt>
                <c:pt idx="11">
                  <c:v>19084968.387300398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D219-49B0-8858-F7ED97A78C70}"/>
            </c:ext>
          </c:extLst>
        </c:ser>
        <c:ser>
          <c:idx val="6"/>
          <c:order val="6"/>
          <c:tx>
            <c:strRef>
              <c:f>'Chart tables'!$B$48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multiLvlStrRef>
              <c:f>'Chart tables'!$D$40:$O$41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tables'!$D$48:$O$48</c:f>
              <c:numCache>
                <c:formatCode>#,##0</c:formatCode>
                <c:ptCount val="12"/>
                <c:pt idx="0">
                  <c:v>895599802.09389257</c:v>
                </c:pt>
                <c:pt idx="1">
                  <c:v>1077647350.4954331</c:v>
                </c:pt>
                <c:pt idx="2">
                  <c:v>1065732533.523703</c:v>
                </c:pt>
                <c:pt idx="3">
                  <c:v>981606396.54391909</c:v>
                </c:pt>
                <c:pt idx="4">
                  <c:v>1167193229.2535768</c:v>
                </c:pt>
                <c:pt idx="5">
                  <c:v>1245605438.3846774</c:v>
                </c:pt>
                <c:pt idx="6">
                  <c:v>860979962.0871253</c:v>
                </c:pt>
                <c:pt idx="7">
                  <c:v>1080974328.1139796</c:v>
                </c:pt>
                <c:pt idx="8">
                  <c:v>1253856092.9357615</c:v>
                </c:pt>
                <c:pt idx="9">
                  <c:v>895297980.89602911</c:v>
                </c:pt>
                <c:pt idx="10">
                  <c:v>1219703953.7895255</c:v>
                </c:pt>
                <c:pt idx="11">
                  <c:v>1365142392.6079071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D219-49B0-8858-F7ED97A78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10934704"/>
        <c:axId val="810930112"/>
      </c:barChart>
      <c:scatterChart>
        <c:scatterStyle val="lineMarker"/>
        <c:varyColors val="0"/>
        <c:ser>
          <c:idx val="7"/>
          <c:order val="7"/>
          <c:tx>
            <c:strRef>
              <c:f>'Chart tables'!$B$49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696A6D"/>
                </a:solidFill>
              </a:ln>
              <a:effectLst/>
            </c:spPr>
          </c:marker>
          <c:yVal>
            <c:numRef>
              <c:f>'Chart tables'!$D$49:$O$49</c:f>
              <c:numCache>
                <c:formatCode>#,##0</c:formatCode>
                <c:ptCount val="12"/>
                <c:pt idx="0">
                  <c:v>238863408.41028655</c:v>
                </c:pt>
                <c:pt idx="1">
                  <c:v>341456573.31314301</c:v>
                </c:pt>
                <c:pt idx="2">
                  <c:v>229413528.49103367</c:v>
                </c:pt>
                <c:pt idx="3">
                  <c:v>119106074.04812038</c:v>
                </c:pt>
                <c:pt idx="4">
                  <c:v>171039401.53717053</c:v>
                </c:pt>
                <c:pt idx="5">
                  <c:v>366065327.71507001</c:v>
                </c:pt>
                <c:pt idx="6">
                  <c:v>165892333.35216224</c:v>
                </c:pt>
                <c:pt idx="7">
                  <c:v>261148086.69145012</c:v>
                </c:pt>
                <c:pt idx="8">
                  <c:v>380387916.19759405</c:v>
                </c:pt>
                <c:pt idx="9">
                  <c:v>-11080596.406774282</c:v>
                </c:pt>
                <c:pt idx="10">
                  <c:v>123152308.0636425</c:v>
                </c:pt>
                <c:pt idx="11">
                  <c:v>90607403.46802187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D219-49B0-8858-F7ED97A78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934704"/>
        <c:axId val="810930112"/>
      </c:scatterChart>
      <c:catAx>
        <c:axId val="81093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930112"/>
        <c:crosses val="autoZero"/>
        <c:auto val="1"/>
        <c:lblAlgn val="ctr"/>
        <c:lblOffset val="100"/>
        <c:noMultiLvlLbl val="0"/>
      </c:catAx>
      <c:valAx>
        <c:axId val="810930112"/>
        <c:scaling>
          <c:orientation val="minMax"/>
          <c:max val="3500000000"/>
          <c:min val="-25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934704"/>
        <c:crosses val="autoZero"/>
        <c:crossBetween val="between"/>
        <c:majorUnit val="1000000000"/>
        <c:minorUnit val="100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9.6296970462084853E-5"/>
          <c:y val="0.81584743749792854"/>
          <c:w val="0.99794312019799591"/>
          <c:h val="0.184152562502071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54143558818953"/>
          <c:y val="4.8229890517803284E-2"/>
          <c:w val="0.86895141993993186"/>
          <c:h val="0.513899322779146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'Chart tables'!$B$53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'Chart tables'!$D$51:$O$52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tables'!$D$53:$O$53</c:f>
              <c:numCache>
                <c:formatCode>#,##0</c:formatCode>
                <c:ptCount val="12"/>
                <c:pt idx="0">
                  <c:v>-583074285.75448072</c:v>
                </c:pt>
                <c:pt idx="1">
                  <c:v>-761414041.11169815</c:v>
                </c:pt>
                <c:pt idx="2">
                  <c:v>-779077264.97431016</c:v>
                </c:pt>
                <c:pt idx="3">
                  <c:v>-917815620.17651618</c:v>
                </c:pt>
                <c:pt idx="4">
                  <c:v>-1154074329.7007592</c:v>
                </c:pt>
                <c:pt idx="5">
                  <c:v>-1020058372.5500923</c:v>
                </c:pt>
                <c:pt idx="6">
                  <c:v>-743397847.89989901</c:v>
                </c:pt>
                <c:pt idx="7">
                  <c:v>-982969034.26159847</c:v>
                </c:pt>
                <c:pt idx="8">
                  <c:v>-995649583.27654338</c:v>
                </c:pt>
                <c:pt idx="9">
                  <c:v>-958245336.23637605</c:v>
                </c:pt>
                <c:pt idx="10">
                  <c:v>-1316525250.5170221</c:v>
                </c:pt>
                <c:pt idx="11">
                  <c:v>-1362642802.7465215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29A-44E8-B981-79C4685A605A}"/>
            </c:ext>
          </c:extLst>
        </c:ser>
        <c:ser>
          <c:idx val="1"/>
          <c:order val="1"/>
          <c:tx>
            <c:strRef>
              <c:f>'Chart tables'!$B$54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'Chart tables'!$D$51:$O$52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tables'!$D$54:$O$54</c:f>
              <c:numCache>
                <c:formatCode>#,##0</c:formatCode>
                <c:ptCount val="12"/>
                <c:pt idx="0">
                  <c:v>-74989777.303553417</c:v>
                </c:pt>
                <c:pt idx="1">
                  <c:v>-98076117.652487293</c:v>
                </c:pt>
                <c:pt idx="2">
                  <c:v>-99986369.738071188</c:v>
                </c:pt>
                <c:pt idx="3">
                  <c:v>-117436821.06028177</c:v>
                </c:pt>
                <c:pt idx="4">
                  <c:v>-148103259.87340841</c:v>
                </c:pt>
                <c:pt idx="5">
                  <c:v>-130831221.53462712</c:v>
                </c:pt>
                <c:pt idx="6">
                  <c:v>-95647338.59849453</c:v>
                </c:pt>
                <c:pt idx="7">
                  <c:v>-126247313.45326428</c:v>
                </c:pt>
                <c:pt idx="8">
                  <c:v>-127812765.08970425</c:v>
                </c:pt>
                <c:pt idx="9">
                  <c:v>-123176416.95998624</c:v>
                </c:pt>
                <c:pt idx="10">
                  <c:v>-168710046.0293273</c:v>
                </c:pt>
                <c:pt idx="11">
                  <c:v>-174347660.2046001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E29A-44E8-B981-79C4685A605A}"/>
            </c:ext>
          </c:extLst>
        </c:ser>
        <c:ser>
          <c:idx val="2"/>
          <c:order val="2"/>
          <c:tx>
            <c:strRef>
              <c:f>'Chart tables'!$B$55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'Chart tables'!$D$51:$O$52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tables'!$D$55:$O$55</c:f>
              <c:numCache>
                <c:formatCode>#,##0</c:formatCode>
                <c:ptCount val="12"/>
                <c:pt idx="0">
                  <c:v>61840165.745859921</c:v>
                </c:pt>
                <c:pt idx="1">
                  <c:v>87483122.3330006</c:v>
                </c:pt>
                <c:pt idx="2">
                  <c:v>45139356.210221387</c:v>
                </c:pt>
                <c:pt idx="3">
                  <c:v>153503091.71023858</c:v>
                </c:pt>
                <c:pt idx="4">
                  <c:v>173162870.597018</c:v>
                </c:pt>
                <c:pt idx="5">
                  <c:v>196315250.70926538</c:v>
                </c:pt>
                <c:pt idx="6">
                  <c:v>110016234.89195623</c:v>
                </c:pt>
                <c:pt idx="7">
                  <c:v>151340516.94408789</c:v>
                </c:pt>
                <c:pt idx="8">
                  <c:v>181714988.99053487</c:v>
                </c:pt>
                <c:pt idx="9">
                  <c:v>108680668.90271215</c:v>
                </c:pt>
                <c:pt idx="10">
                  <c:v>168536649.51236603</c:v>
                </c:pt>
                <c:pt idx="11">
                  <c:v>186741667.78716305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29A-44E8-B981-79C4685A605A}"/>
            </c:ext>
          </c:extLst>
        </c:ser>
        <c:ser>
          <c:idx val="3"/>
          <c:order val="3"/>
          <c:tx>
            <c:strRef>
              <c:f>'Chart tables'!$B$56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'Chart tables'!$D$51:$O$52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tables'!$D$56:$O$56</c:f>
              <c:numCache>
                <c:formatCode>#,##0</c:formatCode>
                <c:ptCount val="12"/>
                <c:pt idx="0">
                  <c:v>22164817.416961189</c:v>
                </c:pt>
                <c:pt idx="1">
                  <c:v>24028542.624588374</c:v>
                </c:pt>
                <c:pt idx="2">
                  <c:v>16379512.150536263</c:v>
                </c:pt>
                <c:pt idx="3">
                  <c:v>122514781.36904386</c:v>
                </c:pt>
                <c:pt idx="4">
                  <c:v>148667333.5528799</c:v>
                </c:pt>
                <c:pt idx="5">
                  <c:v>149836528.87930569</c:v>
                </c:pt>
                <c:pt idx="6">
                  <c:v>119083123.47304128</c:v>
                </c:pt>
                <c:pt idx="7">
                  <c:v>150959525.20994234</c:v>
                </c:pt>
                <c:pt idx="8">
                  <c:v>151388567.7692357</c:v>
                </c:pt>
                <c:pt idx="9">
                  <c:v>139589360.37687543</c:v>
                </c:pt>
                <c:pt idx="10">
                  <c:v>171430098.29502308</c:v>
                </c:pt>
                <c:pt idx="11">
                  <c:v>172144995.41441119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E29A-44E8-B981-79C4685A605A}"/>
            </c:ext>
          </c:extLst>
        </c:ser>
        <c:ser>
          <c:idx val="4"/>
          <c:order val="4"/>
          <c:tx>
            <c:strRef>
              <c:f>'Chart tables'!$B$57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'Chart tables'!$D$51:$O$52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tables'!$D$57:$O$57</c:f>
              <c:numCache>
                <c:formatCode>#,##0</c:formatCode>
                <c:ptCount val="12"/>
                <c:pt idx="0">
                  <c:v>136590461.23215848</c:v>
                </c:pt>
                <c:pt idx="1">
                  <c:v>261606906.23113683</c:v>
                </c:pt>
                <c:pt idx="2">
                  <c:v>267340126.64739841</c:v>
                </c:pt>
                <c:pt idx="3">
                  <c:v>966326640.01303172</c:v>
                </c:pt>
                <c:pt idx="4">
                  <c:v>1113934091.8744857</c:v>
                </c:pt>
                <c:pt idx="5">
                  <c:v>1097758821.9213722</c:v>
                </c:pt>
                <c:pt idx="6">
                  <c:v>898974036.54131901</c:v>
                </c:pt>
                <c:pt idx="7">
                  <c:v>1110394888.1555858</c:v>
                </c:pt>
                <c:pt idx="8">
                  <c:v>1109444620.9393592</c:v>
                </c:pt>
                <c:pt idx="9">
                  <c:v>969143273.15084159</c:v>
                </c:pt>
                <c:pt idx="10">
                  <c:v>1154930646.3175449</c:v>
                </c:pt>
                <c:pt idx="11">
                  <c:v>1154612348.3195424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E29A-44E8-B981-79C4685A605A}"/>
            </c:ext>
          </c:extLst>
        </c:ser>
        <c:ser>
          <c:idx val="5"/>
          <c:order val="5"/>
          <c:tx>
            <c:strRef>
              <c:f>'Chart tables'!$B$58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'Chart tables'!$D$51:$O$52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tables'!$D$58:$O$58</c:f>
              <c:numCache>
                <c:formatCode>#,##0</c:formatCode>
                <c:ptCount val="12"/>
                <c:pt idx="0">
                  <c:v>37321510.043222874</c:v>
                </c:pt>
                <c:pt idx="1">
                  <c:v>65271314.162934914</c:v>
                </c:pt>
                <c:pt idx="2">
                  <c:v>64122249.133241281</c:v>
                </c:pt>
                <c:pt idx="3">
                  <c:v>40071355.61909081</c:v>
                </c:pt>
                <c:pt idx="4">
                  <c:v>66625540.481732644</c:v>
                </c:pt>
                <c:pt idx="5">
                  <c:v>68848778.928150997</c:v>
                </c:pt>
                <c:pt idx="6">
                  <c:v>39248463.806244239</c:v>
                </c:pt>
                <c:pt idx="7">
                  <c:v>61820736.750250474</c:v>
                </c:pt>
                <c:pt idx="8">
                  <c:v>65775735.631545797</c:v>
                </c:pt>
                <c:pt idx="9">
                  <c:v>37702622.336835101</c:v>
                </c:pt>
                <c:pt idx="10">
                  <c:v>87707340.090459064</c:v>
                </c:pt>
                <c:pt idx="11">
                  <c:v>89978183.344173908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E29A-44E8-B981-79C4685A605A}"/>
            </c:ext>
          </c:extLst>
        </c:ser>
        <c:ser>
          <c:idx val="6"/>
          <c:order val="6"/>
          <c:tx>
            <c:strRef>
              <c:f>'Chart tables'!$B$59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multiLvlStrRef>
              <c:f>'Chart tables'!$D$51:$O$52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tables'!$D$59:$O$59</c:f>
              <c:numCache>
                <c:formatCode>#,##0</c:formatCode>
                <c:ptCount val="12"/>
                <c:pt idx="0">
                  <c:v>787474297.12433267</c:v>
                </c:pt>
                <c:pt idx="1">
                  <c:v>1078821144.0042667</c:v>
                </c:pt>
                <c:pt idx="2">
                  <c:v>1073537208.7684177</c:v>
                </c:pt>
                <c:pt idx="3">
                  <c:v>705529579.83859825</c:v>
                </c:pt>
                <c:pt idx="4">
                  <c:v>1030511883.0399467</c:v>
                </c:pt>
                <c:pt idx="5">
                  <c:v>1060181329.4641564</c:v>
                </c:pt>
                <c:pt idx="6">
                  <c:v>638195824.92464077</c:v>
                </c:pt>
                <c:pt idx="7">
                  <c:v>1033658572.6877086</c:v>
                </c:pt>
                <c:pt idx="8">
                  <c:v>1053662034.8301769</c:v>
                </c:pt>
                <c:pt idx="9">
                  <c:v>705635094.62659359</c:v>
                </c:pt>
                <c:pt idx="10">
                  <c:v>1194029075.2800491</c:v>
                </c:pt>
                <c:pt idx="11">
                  <c:v>1212778669.0256705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E29A-44E8-B981-79C4685A6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10934704"/>
        <c:axId val="810930112"/>
      </c:barChart>
      <c:scatterChart>
        <c:scatterStyle val="lineMarker"/>
        <c:varyColors val="0"/>
        <c:ser>
          <c:idx val="7"/>
          <c:order val="7"/>
          <c:tx>
            <c:strRef>
              <c:f>'Chart tables'!$B$60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696A6D"/>
                </a:solidFill>
              </a:ln>
              <a:effectLst/>
            </c:spPr>
          </c:marker>
          <c:yVal>
            <c:numRef>
              <c:f>'Chart tables'!$D$60:$O$60</c:f>
              <c:numCache>
                <c:formatCode>#,##0</c:formatCode>
                <c:ptCount val="12"/>
                <c:pt idx="0">
                  <c:v>387327188.50450087</c:v>
                </c:pt>
                <c:pt idx="1">
                  <c:v>657720870.59174204</c:v>
                </c:pt>
                <c:pt idx="2">
                  <c:v>587454818.19743371</c:v>
                </c:pt>
                <c:pt idx="3">
                  <c:v>952693007.31320524</c:v>
                </c:pt>
                <c:pt idx="4">
                  <c:v>1230724129.9718955</c:v>
                </c:pt>
                <c:pt idx="5">
                  <c:v>1422051115.8175311</c:v>
                </c:pt>
                <c:pt idx="6">
                  <c:v>966472497.13880801</c:v>
                </c:pt>
                <c:pt idx="7">
                  <c:v>1398957892.0327122</c:v>
                </c:pt>
                <c:pt idx="8">
                  <c:v>1438523599.7946048</c:v>
                </c:pt>
                <c:pt idx="9">
                  <c:v>879329266.19749546</c:v>
                </c:pt>
                <c:pt idx="10">
                  <c:v>1291398512.9490929</c:v>
                </c:pt>
                <c:pt idx="11">
                  <c:v>1279265400.9398394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7-E29A-44E8-B981-79C4685A6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934704"/>
        <c:axId val="810930112"/>
      </c:scatterChart>
      <c:catAx>
        <c:axId val="81093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930112"/>
        <c:crosses val="autoZero"/>
        <c:auto val="1"/>
        <c:lblAlgn val="ctr"/>
        <c:lblOffset val="100"/>
        <c:noMultiLvlLbl val="0"/>
      </c:catAx>
      <c:valAx>
        <c:axId val="810930112"/>
        <c:scaling>
          <c:orientation val="minMax"/>
          <c:min val="-25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0934704"/>
        <c:crosses val="autoZero"/>
        <c:crossBetween val="between"/>
        <c:majorUnit val="1000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9.6296970462084853E-5"/>
          <c:y val="0.81584743749792854"/>
          <c:w val="0.99794312019799591"/>
          <c:h val="0.184152562502071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'Chart tables'!$B$66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tables'!$D$65:$AC$65</c15:sqref>
                  </c15:fullRef>
                </c:ext>
              </c:extLst>
              <c:f>'Chart tables'!$D$65:$AB$65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tables'!$D$66:$AC$66</c15:sqref>
                  </c15:fullRef>
                </c:ext>
              </c:extLst>
              <c:f>'Chart tables'!$D$66:$AB$66</c:f>
              <c:numCache>
                <c:formatCode>#,##0</c:formatCode>
                <c:ptCount val="25"/>
                <c:pt idx="0">
                  <c:v>0</c:v>
                </c:pt>
                <c:pt idx="1">
                  <c:v>-53.824362606232299</c:v>
                </c:pt>
                <c:pt idx="2">
                  <c:v>-245.53514504481132</c:v>
                </c:pt>
                <c:pt idx="3">
                  <c:v>-386.14915416812948</c:v>
                </c:pt>
                <c:pt idx="4">
                  <c:v>-35580970.893954292</c:v>
                </c:pt>
                <c:pt idx="5">
                  <c:v>71245209.409673452</c:v>
                </c:pt>
                <c:pt idx="6">
                  <c:v>71244942.839174867</c:v>
                </c:pt>
                <c:pt idx="7">
                  <c:v>84454364.479144335</c:v>
                </c:pt>
                <c:pt idx="8">
                  <c:v>84454105.922544956</c:v>
                </c:pt>
                <c:pt idx="9">
                  <c:v>117179273.44868398</c:v>
                </c:pt>
                <c:pt idx="10">
                  <c:v>120665831.93443447</c:v>
                </c:pt>
                <c:pt idx="11">
                  <c:v>120760561.14506657</c:v>
                </c:pt>
                <c:pt idx="12">
                  <c:v>123318574.81716402</c:v>
                </c:pt>
                <c:pt idx="13">
                  <c:v>123318287.66777718</c:v>
                </c:pt>
                <c:pt idx="14">
                  <c:v>126172608.90972936</c:v>
                </c:pt>
                <c:pt idx="15">
                  <c:v>133316541.74831291</c:v>
                </c:pt>
                <c:pt idx="16">
                  <c:v>133843092.9925497</c:v>
                </c:pt>
                <c:pt idx="17">
                  <c:v>133842802.41677567</c:v>
                </c:pt>
                <c:pt idx="18">
                  <c:v>134879162.97450179</c:v>
                </c:pt>
                <c:pt idx="19">
                  <c:v>134878864.84120688</c:v>
                </c:pt>
                <c:pt idx="20">
                  <c:v>134878560.75779071</c:v>
                </c:pt>
                <c:pt idx="21">
                  <c:v>134878260.71386591</c:v>
                </c:pt>
                <c:pt idx="22">
                  <c:v>134877956.13669956</c:v>
                </c:pt>
                <c:pt idx="23">
                  <c:v>134850669.20099983</c:v>
                </c:pt>
                <c:pt idx="24">
                  <c:v>136242511.62031269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5-46AA-B9BB-03284C69CEED}"/>
            </c:ext>
          </c:extLst>
        </c:ser>
        <c:ser>
          <c:idx val="1"/>
          <c:order val="1"/>
          <c:tx>
            <c:strRef>
              <c:f>'Chart tables'!$B$67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tables'!$D$65:$AC$65</c15:sqref>
                  </c15:fullRef>
                </c:ext>
              </c:extLst>
              <c:f>'Chart tables'!$D$65:$AB$65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tables'!$D$67:$AC$67</c15:sqref>
                  </c15:fullRef>
                </c:ext>
              </c:extLst>
              <c:f>'Chart tables'!$D$67:$AB$67</c:f>
              <c:numCache>
                <c:formatCode>#,##0</c:formatCode>
                <c:ptCount val="25"/>
                <c:pt idx="0">
                  <c:v>0</c:v>
                </c:pt>
                <c:pt idx="1">
                  <c:v>-1428.7063267233241</c:v>
                </c:pt>
                <c:pt idx="2">
                  <c:v>-1659.6509437074728</c:v>
                </c:pt>
                <c:pt idx="3">
                  <c:v>-1732.0629484057085</c:v>
                </c:pt>
                <c:pt idx="4">
                  <c:v>-1937.1961061910788</c:v>
                </c:pt>
                <c:pt idx="5">
                  <c:v>-2153.4244825377368</c:v>
                </c:pt>
                <c:pt idx="6">
                  <c:v>-2408.6515556570216</c:v>
                </c:pt>
                <c:pt idx="7">
                  <c:v>-2430.7439211300475</c:v>
                </c:pt>
                <c:pt idx="8">
                  <c:v>-2566.6599819278435</c:v>
                </c:pt>
                <c:pt idx="9">
                  <c:v>-2860.9552493952365</c:v>
                </c:pt>
                <c:pt idx="10">
                  <c:v>121411566.56442703</c:v>
                </c:pt>
                <c:pt idx="11">
                  <c:v>121411932.24439974</c:v>
                </c:pt>
                <c:pt idx="12">
                  <c:v>133512833.94183579</c:v>
                </c:pt>
                <c:pt idx="13">
                  <c:v>145693631.19426596</c:v>
                </c:pt>
                <c:pt idx="14">
                  <c:v>129256159.06993419</c:v>
                </c:pt>
                <c:pt idx="15">
                  <c:v>133449827.67488426</c:v>
                </c:pt>
                <c:pt idx="16">
                  <c:v>64378839.974289224</c:v>
                </c:pt>
                <c:pt idx="17">
                  <c:v>100866743.7032412</c:v>
                </c:pt>
                <c:pt idx="18">
                  <c:v>23869994.841869131</c:v>
                </c:pt>
                <c:pt idx="19">
                  <c:v>31300925.155701309</c:v>
                </c:pt>
                <c:pt idx="20">
                  <c:v>28243499.22414114</c:v>
                </c:pt>
                <c:pt idx="21">
                  <c:v>28243481.521549575</c:v>
                </c:pt>
                <c:pt idx="22">
                  <c:v>21229423.539832011</c:v>
                </c:pt>
                <c:pt idx="23">
                  <c:v>16954257.048767652</c:v>
                </c:pt>
                <c:pt idx="24">
                  <c:v>18005388.155679874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5-46AA-B9BB-03284C69CEED}"/>
            </c:ext>
          </c:extLst>
        </c:ser>
        <c:ser>
          <c:idx val="2"/>
          <c:order val="2"/>
          <c:tx>
            <c:strRef>
              <c:f>'Chart tables'!$B$68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tables'!$D$65:$AC$65</c15:sqref>
                  </c15:fullRef>
                </c:ext>
              </c:extLst>
              <c:f>'Chart tables'!$D$65:$AB$65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tables'!$D$68:$AC$68</c15:sqref>
                  </c15:fullRef>
                </c:ext>
              </c:extLst>
              <c:f>'Chart tables'!$D$68:$AB$68</c:f>
              <c:numCache>
                <c:formatCode>#,##0</c:formatCode>
                <c:ptCount val="25"/>
                <c:pt idx="0">
                  <c:v>0</c:v>
                </c:pt>
                <c:pt idx="1">
                  <c:v>-586.40226628895186</c:v>
                </c:pt>
                <c:pt idx="2">
                  <c:v>-1103.5755398441884</c:v>
                </c:pt>
                <c:pt idx="3">
                  <c:v>-2092.0836039805686</c:v>
                </c:pt>
                <c:pt idx="4">
                  <c:v>-36445237.109109059</c:v>
                </c:pt>
                <c:pt idx="5">
                  <c:v>-64094266.494227529</c:v>
                </c:pt>
                <c:pt idx="6">
                  <c:v>-89048103.854593188</c:v>
                </c:pt>
                <c:pt idx="7">
                  <c:v>-104262241.63376591</c:v>
                </c:pt>
                <c:pt idx="8">
                  <c:v>-119888586.37164773</c:v>
                </c:pt>
                <c:pt idx="9">
                  <c:v>-134627480.7630541</c:v>
                </c:pt>
                <c:pt idx="10">
                  <c:v>-169704448.27653348</c:v>
                </c:pt>
                <c:pt idx="11">
                  <c:v>-170132911.29551068</c:v>
                </c:pt>
                <c:pt idx="12">
                  <c:v>-169633793.59079331</c:v>
                </c:pt>
                <c:pt idx="13">
                  <c:v>-158007326.12666833</c:v>
                </c:pt>
                <c:pt idx="14">
                  <c:v>-140600059.54830241</c:v>
                </c:pt>
                <c:pt idx="15">
                  <c:v>-124243839.79233889</c:v>
                </c:pt>
                <c:pt idx="16">
                  <c:v>-61079023.055315681</c:v>
                </c:pt>
                <c:pt idx="17">
                  <c:v>2373939.2837458625</c:v>
                </c:pt>
                <c:pt idx="18">
                  <c:v>209191261.95204565</c:v>
                </c:pt>
                <c:pt idx="19">
                  <c:v>392315044.20135254</c:v>
                </c:pt>
                <c:pt idx="20">
                  <c:v>566306467.7949034</c:v>
                </c:pt>
                <c:pt idx="21">
                  <c:v>725725646.60254145</c:v>
                </c:pt>
                <c:pt idx="22">
                  <c:v>874912328.65420914</c:v>
                </c:pt>
                <c:pt idx="23">
                  <c:v>1035125456.2897483</c:v>
                </c:pt>
                <c:pt idx="24">
                  <c:v>1171207334.5428724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75-46AA-B9BB-03284C69CEED}"/>
            </c:ext>
          </c:extLst>
        </c:ser>
        <c:ser>
          <c:idx val="3"/>
          <c:order val="3"/>
          <c:tx>
            <c:strRef>
              <c:f>'Chart tables'!$B$69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tables'!$D$65:$AC$65</c15:sqref>
                  </c15:fullRef>
                </c:ext>
              </c:extLst>
              <c:f>'Chart tables'!$D$65:$AB$65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tables'!$D$69:$AC$69</c15:sqref>
                  </c15:fullRef>
                </c:ext>
              </c:extLst>
              <c:f>'Chart tables'!$D$69:$AB$69</c:f>
              <c:numCache>
                <c:formatCode>#,##0</c:formatCode>
                <c:ptCount val="25"/>
                <c:pt idx="0">
                  <c:v>0</c:v>
                </c:pt>
                <c:pt idx="1">
                  <c:v>-758.26251180358838</c:v>
                </c:pt>
                <c:pt idx="2">
                  <c:v>-1488.5468411858963</c:v>
                </c:pt>
                <c:pt idx="3">
                  <c:v>-2112.468881667206</c:v>
                </c:pt>
                <c:pt idx="4">
                  <c:v>-6230417.0863954043</c:v>
                </c:pt>
                <c:pt idx="5">
                  <c:v>-2405333.3548581544</c:v>
                </c:pt>
                <c:pt idx="6">
                  <c:v>-2321214.7653425899</c:v>
                </c:pt>
                <c:pt idx="7">
                  <c:v>7645144.0262360126</c:v>
                </c:pt>
                <c:pt idx="8">
                  <c:v>7783917.4851491852</c:v>
                </c:pt>
                <c:pt idx="9">
                  <c:v>19062247.551708855</c:v>
                </c:pt>
                <c:pt idx="10">
                  <c:v>29981978.111363277</c:v>
                </c:pt>
                <c:pt idx="11">
                  <c:v>33617838.268726744</c:v>
                </c:pt>
                <c:pt idx="12">
                  <c:v>35722352.439877212</c:v>
                </c:pt>
                <c:pt idx="13">
                  <c:v>40224254.42227529</c:v>
                </c:pt>
                <c:pt idx="14">
                  <c:v>40506908.073236316</c:v>
                </c:pt>
                <c:pt idx="15">
                  <c:v>43807911.371787637</c:v>
                </c:pt>
                <c:pt idx="16">
                  <c:v>47561276.999619804</c:v>
                </c:pt>
                <c:pt idx="17">
                  <c:v>51426585.759452403</c:v>
                </c:pt>
                <c:pt idx="18">
                  <c:v>64419959.998038195</c:v>
                </c:pt>
                <c:pt idx="19">
                  <c:v>64377444.373119399</c:v>
                </c:pt>
                <c:pt idx="20">
                  <c:v>64116115.021712348</c:v>
                </c:pt>
                <c:pt idx="21">
                  <c:v>61730466.675666153</c:v>
                </c:pt>
                <c:pt idx="22">
                  <c:v>61946602.849413738</c:v>
                </c:pt>
                <c:pt idx="23">
                  <c:v>62011326.2162854</c:v>
                </c:pt>
                <c:pt idx="24">
                  <c:v>63917443.083564967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75-46AA-B9BB-03284C69CEED}"/>
            </c:ext>
          </c:extLst>
        </c:ser>
        <c:ser>
          <c:idx val="4"/>
          <c:order val="4"/>
          <c:tx>
            <c:strRef>
              <c:f>'Chart tables'!$B$70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tables'!$D$65:$AC$65</c15:sqref>
                  </c15:fullRef>
                </c:ext>
              </c:extLst>
              <c:f>'Chart tables'!$D$65:$AB$65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tables'!$D$70:$AC$70</c15:sqref>
                  </c15:fullRef>
                </c:ext>
              </c:extLst>
              <c:f>'Chart tables'!$D$70:$AB$70</c:f>
              <c:numCache>
                <c:formatCode>#,##0</c:formatCode>
                <c:ptCount val="25"/>
                <c:pt idx="0">
                  <c:v>0</c:v>
                </c:pt>
                <c:pt idx="1">
                  <c:v>-27873.465533522194</c:v>
                </c:pt>
                <c:pt idx="2">
                  <c:v>-32330.072466675767</c:v>
                </c:pt>
                <c:pt idx="3">
                  <c:v>-44101.233230412225</c:v>
                </c:pt>
                <c:pt idx="4">
                  <c:v>597526952.01618385</c:v>
                </c:pt>
                <c:pt idx="5">
                  <c:v>999173901.4744544</c:v>
                </c:pt>
                <c:pt idx="6">
                  <c:v>1019290077.6883339</c:v>
                </c:pt>
                <c:pt idx="7">
                  <c:v>1035383316.2133405</c:v>
                </c:pt>
                <c:pt idx="8">
                  <c:v>1003087082.8199708</c:v>
                </c:pt>
                <c:pt idx="9">
                  <c:v>1183929922.4707775</c:v>
                </c:pt>
                <c:pt idx="10">
                  <c:v>1607316350.4364529</c:v>
                </c:pt>
                <c:pt idx="11">
                  <c:v>1203117787.5850067</c:v>
                </c:pt>
                <c:pt idx="12">
                  <c:v>1592158018.6908617</c:v>
                </c:pt>
                <c:pt idx="13">
                  <c:v>1521996293.0059032</c:v>
                </c:pt>
                <c:pt idx="14">
                  <c:v>1452272348.782829</c:v>
                </c:pt>
                <c:pt idx="15">
                  <c:v>1450860343.7726936</c:v>
                </c:pt>
                <c:pt idx="16">
                  <c:v>1348297096.2979167</c:v>
                </c:pt>
                <c:pt idx="17">
                  <c:v>1356558159.5157061</c:v>
                </c:pt>
                <c:pt idx="18">
                  <c:v>851304936.6358273</c:v>
                </c:pt>
                <c:pt idx="19">
                  <c:v>791545628.19155252</c:v>
                </c:pt>
                <c:pt idx="20">
                  <c:v>771344513.38813961</c:v>
                </c:pt>
                <c:pt idx="21">
                  <c:v>788178912.25330424</c:v>
                </c:pt>
                <c:pt idx="22">
                  <c:v>790373859.92741001</c:v>
                </c:pt>
                <c:pt idx="23">
                  <c:v>734340462.66601992</c:v>
                </c:pt>
                <c:pt idx="24">
                  <c:v>765058152.50240934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75-46AA-B9BB-03284C69C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73224024"/>
        <c:axId val="673222056"/>
      </c:barChart>
      <c:catAx>
        <c:axId val="673224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t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222056"/>
        <c:crosses val="autoZero"/>
        <c:auto val="1"/>
        <c:lblAlgn val="ctr"/>
        <c:lblOffset val="100"/>
        <c:noMultiLvlLbl val="0"/>
      </c:catAx>
      <c:valAx>
        <c:axId val="673222056"/>
        <c:scaling>
          <c:orientation val="minMax"/>
          <c:max val="30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224024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'Chart tables'!$B$73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tables'!$D$72:$AC$72</c15:sqref>
                  </c15:fullRef>
                </c:ext>
              </c:extLst>
              <c:f>'Chart tables'!$D$72:$AB$72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tables'!$D$73:$AC$73</c15:sqref>
                  </c15:fullRef>
                </c:ext>
              </c:extLst>
              <c:f>'Chart tables'!$D$73:$AB$73</c:f>
              <c:numCache>
                <c:formatCode>#,##0</c:formatCode>
                <c:ptCount val="25"/>
                <c:pt idx="0">
                  <c:v>0</c:v>
                </c:pt>
                <c:pt idx="1">
                  <c:v>-33.050047214353164</c:v>
                </c:pt>
                <c:pt idx="2">
                  <c:v>-203.36055626443962</c:v>
                </c:pt>
                <c:pt idx="3">
                  <c:v>-380.18056773687562</c:v>
                </c:pt>
                <c:pt idx="4">
                  <c:v>-532.04271167875822</c:v>
                </c:pt>
                <c:pt idx="5">
                  <c:v>110682136.91173875</c:v>
                </c:pt>
                <c:pt idx="6">
                  <c:v>110681968.17828485</c:v>
                </c:pt>
                <c:pt idx="7">
                  <c:v>147838931.55592468</c:v>
                </c:pt>
                <c:pt idx="8">
                  <c:v>147838760.2384713</c:v>
                </c:pt>
                <c:pt idx="9">
                  <c:v>167555254.94542518</c:v>
                </c:pt>
                <c:pt idx="10">
                  <c:v>167555088.09315884</c:v>
                </c:pt>
                <c:pt idx="11">
                  <c:v>167554920.95558763</c:v>
                </c:pt>
                <c:pt idx="12">
                  <c:v>167554757.09818032</c:v>
                </c:pt>
                <c:pt idx="13">
                  <c:v>167554593.82646284</c:v>
                </c:pt>
                <c:pt idx="14">
                  <c:v>167554428.89467102</c:v>
                </c:pt>
                <c:pt idx="15">
                  <c:v>168813793.53339779</c:v>
                </c:pt>
                <c:pt idx="16">
                  <c:v>169379147.43816918</c:v>
                </c:pt>
                <c:pt idx="17">
                  <c:v>169378983.65909654</c:v>
                </c:pt>
                <c:pt idx="18">
                  <c:v>172714222.89140815</c:v>
                </c:pt>
                <c:pt idx="19">
                  <c:v>172714067.09488946</c:v>
                </c:pt>
                <c:pt idx="20">
                  <c:v>172713913.62332204</c:v>
                </c:pt>
                <c:pt idx="21">
                  <c:v>172713761.50105217</c:v>
                </c:pt>
                <c:pt idx="22">
                  <c:v>172713612.75406396</c:v>
                </c:pt>
                <c:pt idx="23">
                  <c:v>172713464.80301493</c:v>
                </c:pt>
                <c:pt idx="24">
                  <c:v>172713314.73663628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74-4638-B224-3D8DDE365D0B}"/>
            </c:ext>
          </c:extLst>
        </c:ser>
        <c:ser>
          <c:idx val="1"/>
          <c:order val="1"/>
          <c:tx>
            <c:strRef>
              <c:f>'Chart tables'!$B$74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tables'!$D$72:$AC$72</c15:sqref>
                  </c15:fullRef>
                </c:ext>
              </c:extLst>
              <c:f>'Chart tables'!$D$72:$AB$72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tables'!$D$74:$AC$74</c15:sqref>
                  </c15:fullRef>
                </c:ext>
              </c:extLst>
              <c:f>'Chart tables'!$D$74:$AB$74</c:f>
              <c:numCache>
                <c:formatCode>#,##0</c:formatCode>
                <c:ptCount val="25"/>
                <c:pt idx="0">
                  <c:v>0</c:v>
                </c:pt>
                <c:pt idx="1">
                  <c:v>-849.85835694051002</c:v>
                </c:pt>
                <c:pt idx="2">
                  <c:v>-823.99969326274822</c:v>
                </c:pt>
                <c:pt idx="3">
                  <c:v>-850.10169495629827</c:v>
                </c:pt>
                <c:pt idx="4">
                  <c:v>-1226.1791508961437</c:v>
                </c:pt>
                <c:pt idx="5">
                  <c:v>20235001.944613568</c:v>
                </c:pt>
                <c:pt idx="6">
                  <c:v>20235128.849186037</c:v>
                </c:pt>
                <c:pt idx="7">
                  <c:v>90921789.783858374</c:v>
                </c:pt>
                <c:pt idx="8">
                  <c:v>142168984.1272403</c:v>
                </c:pt>
                <c:pt idx="9">
                  <c:v>188520084.61969125</c:v>
                </c:pt>
                <c:pt idx="10">
                  <c:v>211976251.75454313</c:v>
                </c:pt>
                <c:pt idx="11">
                  <c:v>217415334.15046301</c:v>
                </c:pt>
                <c:pt idx="12">
                  <c:v>217415333.14520285</c:v>
                </c:pt>
                <c:pt idx="13">
                  <c:v>205865881.51976395</c:v>
                </c:pt>
                <c:pt idx="14">
                  <c:v>193903976.53711644</c:v>
                </c:pt>
                <c:pt idx="15">
                  <c:v>192168727.01903635</c:v>
                </c:pt>
                <c:pt idx="16">
                  <c:v>230414209.00315425</c:v>
                </c:pt>
                <c:pt idx="17">
                  <c:v>249178633.2127102</c:v>
                </c:pt>
                <c:pt idx="18">
                  <c:v>178189677.36556697</c:v>
                </c:pt>
                <c:pt idx="19">
                  <c:v>183454026.92570081</c:v>
                </c:pt>
                <c:pt idx="20">
                  <c:v>181061266.65230682</c:v>
                </c:pt>
                <c:pt idx="21">
                  <c:v>194756467.35579795</c:v>
                </c:pt>
                <c:pt idx="22">
                  <c:v>184142872.78961751</c:v>
                </c:pt>
                <c:pt idx="23">
                  <c:v>181490214.28697363</c:v>
                </c:pt>
                <c:pt idx="24">
                  <c:v>179013089.03830513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74-4638-B224-3D8DDE365D0B}"/>
            </c:ext>
          </c:extLst>
        </c:ser>
        <c:ser>
          <c:idx val="2"/>
          <c:order val="2"/>
          <c:tx>
            <c:strRef>
              <c:f>'Chart tables'!$B$75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tables'!$D$72:$AC$72</c15:sqref>
                  </c15:fullRef>
                </c:ext>
              </c:extLst>
              <c:f>'Chart tables'!$D$72:$AB$72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tables'!$D$75:$AC$75</c15:sqref>
                  </c15:fullRef>
                </c:ext>
              </c:extLst>
              <c:f>'Chart tables'!$D$75:$AB$75</c:f>
              <c:numCache>
                <c:formatCode>#,##0</c:formatCode>
                <c:ptCount val="25"/>
                <c:pt idx="0">
                  <c:v>0</c:v>
                </c:pt>
                <c:pt idx="1">
                  <c:v>-3876.2983947119928</c:v>
                </c:pt>
                <c:pt idx="2">
                  <c:v>-7660.5800722437561</c:v>
                </c:pt>
                <c:pt idx="3">
                  <c:v>-11773.750339114471</c:v>
                </c:pt>
                <c:pt idx="4">
                  <c:v>-30956.085861323161</c:v>
                </c:pt>
                <c:pt idx="5">
                  <c:v>-7844809.9314161902</c:v>
                </c:pt>
                <c:pt idx="6">
                  <c:v>2436083.9662336847</c:v>
                </c:pt>
                <c:pt idx="7">
                  <c:v>9762514.8761474341</c:v>
                </c:pt>
                <c:pt idx="8">
                  <c:v>7632801.867766045</c:v>
                </c:pt>
                <c:pt idx="9">
                  <c:v>6625093.0856113974</c:v>
                </c:pt>
                <c:pt idx="10">
                  <c:v>7442584.6371048968</c:v>
                </c:pt>
                <c:pt idx="11">
                  <c:v>-1330764.0240379497</c:v>
                </c:pt>
                <c:pt idx="12">
                  <c:v>11502383.755666705</c:v>
                </c:pt>
                <c:pt idx="13">
                  <c:v>23290194.527418882</c:v>
                </c:pt>
                <c:pt idx="14">
                  <c:v>42019457.093004405</c:v>
                </c:pt>
                <c:pt idx="15">
                  <c:v>54760445.628629409</c:v>
                </c:pt>
                <c:pt idx="16">
                  <c:v>89270271.855676651</c:v>
                </c:pt>
                <c:pt idx="17">
                  <c:v>129201327.18041155</c:v>
                </c:pt>
                <c:pt idx="18">
                  <c:v>320422227.24832398</c:v>
                </c:pt>
                <c:pt idx="19">
                  <c:v>479590784.56905735</c:v>
                </c:pt>
                <c:pt idx="20">
                  <c:v>627516024.2568233</c:v>
                </c:pt>
                <c:pt idx="21">
                  <c:v>746822917.64229965</c:v>
                </c:pt>
                <c:pt idx="22">
                  <c:v>869245165.09455347</c:v>
                </c:pt>
                <c:pt idx="23">
                  <c:v>957588007.83467865</c:v>
                </c:pt>
                <c:pt idx="24">
                  <c:v>1057229153.1699166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74-4638-B224-3D8DDE365D0B}"/>
            </c:ext>
          </c:extLst>
        </c:ser>
        <c:ser>
          <c:idx val="3"/>
          <c:order val="3"/>
          <c:tx>
            <c:strRef>
              <c:f>'Chart tables'!$B$76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tables'!$D$72:$AC$72</c15:sqref>
                  </c15:fullRef>
                </c:ext>
              </c:extLst>
              <c:f>'Chart tables'!$D$72:$AB$72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tables'!$D$76:$AC$76</c15:sqref>
                  </c15:fullRef>
                </c:ext>
              </c:extLst>
              <c:f>'Chart tables'!$D$76:$AB$76</c:f>
              <c:numCache>
                <c:formatCode>#,##0</c:formatCode>
                <c:ptCount val="25"/>
                <c:pt idx="0">
                  <c:v>0</c:v>
                </c:pt>
                <c:pt idx="1">
                  <c:v>-932.95561850802653</c:v>
                </c:pt>
                <c:pt idx="2">
                  <c:v>-1850.4923400396442</c:v>
                </c:pt>
                <c:pt idx="3">
                  <c:v>-2688.2823943971389</c:v>
                </c:pt>
                <c:pt idx="4">
                  <c:v>-3651.9311821330639</c:v>
                </c:pt>
                <c:pt idx="5">
                  <c:v>13325466.282928521</c:v>
                </c:pt>
                <c:pt idx="6">
                  <c:v>14628592.620471401</c:v>
                </c:pt>
                <c:pt idx="7">
                  <c:v>33495963.452735282</c:v>
                </c:pt>
                <c:pt idx="8">
                  <c:v>33572992.457815051</c:v>
                </c:pt>
                <c:pt idx="9">
                  <c:v>40094875.252690181</c:v>
                </c:pt>
                <c:pt idx="10">
                  <c:v>42552229.208580591</c:v>
                </c:pt>
                <c:pt idx="11">
                  <c:v>47748597.510819748</c:v>
                </c:pt>
                <c:pt idx="12">
                  <c:v>51329136.191148803</c:v>
                </c:pt>
                <c:pt idx="13">
                  <c:v>59601021.998750746</c:v>
                </c:pt>
                <c:pt idx="14">
                  <c:v>62817403.033923082</c:v>
                </c:pt>
                <c:pt idx="15">
                  <c:v>67321212.577674031</c:v>
                </c:pt>
                <c:pt idx="16">
                  <c:v>72282012.136847541</c:v>
                </c:pt>
                <c:pt idx="17">
                  <c:v>77300524.442626998</c:v>
                </c:pt>
                <c:pt idx="18">
                  <c:v>90602376.599801347</c:v>
                </c:pt>
                <c:pt idx="19">
                  <c:v>90768261.53191869</c:v>
                </c:pt>
                <c:pt idx="20">
                  <c:v>91720821.421246991</c:v>
                </c:pt>
                <c:pt idx="21">
                  <c:v>89492782.54837729</c:v>
                </c:pt>
                <c:pt idx="22">
                  <c:v>90247457.051315591</c:v>
                </c:pt>
                <c:pt idx="23">
                  <c:v>91999053.801501811</c:v>
                </c:pt>
                <c:pt idx="24">
                  <c:v>96066530.48781018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74-4638-B224-3D8DDE365D0B}"/>
            </c:ext>
          </c:extLst>
        </c:ser>
        <c:ser>
          <c:idx val="4"/>
          <c:order val="4"/>
          <c:tx>
            <c:strRef>
              <c:f>'Chart tables'!$B$77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tables'!$D$72:$AC$72</c15:sqref>
                  </c15:fullRef>
                </c:ext>
              </c:extLst>
              <c:f>'Chart tables'!$D$72:$AB$72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tables'!$D$77:$AC$77</c15:sqref>
                  </c15:fullRef>
                </c:ext>
              </c:extLst>
              <c:f>'Chart tables'!$D$77:$AB$77</c:f>
              <c:numCache>
                <c:formatCode>#,##0</c:formatCode>
                <c:ptCount val="25"/>
                <c:pt idx="0">
                  <c:v>0</c:v>
                </c:pt>
                <c:pt idx="1">
                  <c:v>-20610.953729933903</c:v>
                </c:pt>
                <c:pt idx="2">
                  <c:v>-21243.153472952286</c:v>
                </c:pt>
                <c:pt idx="3">
                  <c:v>-30084.154046574087</c:v>
                </c:pt>
                <c:pt idx="4">
                  <c:v>-823319.76358694141</c:v>
                </c:pt>
                <c:pt idx="5">
                  <c:v>487188039.16057187</c:v>
                </c:pt>
                <c:pt idx="6">
                  <c:v>377915496.53521407</c:v>
                </c:pt>
                <c:pt idx="7">
                  <c:v>1404696699.5985632</c:v>
                </c:pt>
                <c:pt idx="8">
                  <c:v>1253249612.3124068</c:v>
                </c:pt>
                <c:pt idx="9">
                  <c:v>1293853672.4384604</c:v>
                </c:pt>
                <c:pt idx="10">
                  <c:v>1201336926.1207724</c:v>
                </c:pt>
                <c:pt idx="11">
                  <c:v>1423662193.3247664</c:v>
                </c:pt>
                <c:pt idx="12">
                  <c:v>1384491200.5070364</c:v>
                </c:pt>
                <c:pt idx="13">
                  <c:v>1336076231.0043712</c:v>
                </c:pt>
                <c:pt idx="14">
                  <c:v>1351016372.5458093</c:v>
                </c:pt>
                <c:pt idx="15">
                  <c:v>1357238196.6179814</c:v>
                </c:pt>
                <c:pt idx="16">
                  <c:v>1327443267.5053937</c:v>
                </c:pt>
                <c:pt idx="17">
                  <c:v>1190693576.3893089</c:v>
                </c:pt>
                <c:pt idx="18">
                  <c:v>760219419.42554712</c:v>
                </c:pt>
                <c:pt idx="19">
                  <c:v>841590047.67748535</c:v>
                </c:pt>
                <c:pt idx="20">
                  <c:v>797954485.44340813</c:v>
                </c:pt>
                <c:pt idx="21">
                  <c:v>889603083.80372202</c:v>
                </c:pt>
                <c:pt idx="22">
                  <c:v>1048016849.7951701</c:v>
                </c:pt>
                <c:pt idx="23">
                  <c:v>1008907894.8864244</c:v>
                </c:pt>
                <c:pt idx="24">
                  <c:v>950912341.79764807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A74-4638-B224-3D8DDE365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73224024"/>
        <c:axId val="673222056"/>
      </c:barChart>
      <c:catAx>
        <c:axId val="673224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t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222056"/>
        <c:crosses val="autoZero"/>
        <c:auto val="1"/>
        <c:lblAlgn val="ctr"/>
        <c:lblOffset val="100"/>
        <c:noMultiLvlLbl val="0"/>
      </c:catAx>
      <c:valAx>
        <c:axId val="6732220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224024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'Chart tables'!$B$80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'Chart tables'!$D$79:$AC$79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'Chart tables'!$D$80:$AC$80</c:f>
              <c:numCache>
                <c:formatCode>#,##0</c:formatCode>
                <c:ptCount val="26"/>
                <c:pt idx="0">
                  <c:v>0</c:v>
                </c:pt>
                <c:pt idx="1">
                  <c:v>-23324581.680830974</c:v>
                </c:pt>
                <c:pt idx="2">
                  <c:v>-23324659.256822009</c:v>
                </c:pt>
                <c:pt idx="3">
                  <c:v>-28956457.454224341</c:v>
                </c:pt>
                <c:pt idx="4">
                  <c:v>-71804756.527036667</c:v>
                </c:pt>
                <c:pt idx="5">
                  <c:v>41824187.728005186</c:v>
                </c:pt>
                <c:pt idx="6">
                  <c:v>41824107.615062788</c:v>
                </c:pt>
                <c:pt idx="7">
                  <c:v>63812800.981045619</c:v>
                </c:pt>
                <c:pt idx="8">
                  <c:v>63812720.695744589</c:v>
                </c:pt>
                <c:pt idx="9">
                  <c:v>114800024.06978577</c:v>
                </c:pt>
                <c:pt idx="10">
                  <c:v>114799945.15317333</c:v>
                </c:pt>
                <c:pt idx="11">
                  <c:v>114799864.77809927</c:v>
                </c:pt>
                <c:pt idx="12">
                  <c:v>114897758.52109922</c:v>
                </c:pt>
                <c:pt idx="13">
                  <c:v>148626686.69061476</c:v>
                </c:pt>
                <c:pt idx="14">
                  <c:v>150546490.50642845</c:v>
                </c:pt>
                <c:pt idx="15">
                  <c:v>151752159.79811275</c:v>
                </c:pt>
                <c:pt idx="16">
                  <c:v>151179109.70263562</c:v>
                </c:pt>
                <c:pt idx="17">
                  <c:v>152386152.7884281</c:v>
                </c:pt>
                <c:pt idx="18">
                  <c:v>150796741.82554969</c:v>
                </c:pt>
                <c:pt idx="19">
                  <c:v>150796664.76852426</c:v>
                </c:pt>
                <c:pt idx="20">
                  <c:v>151217718.30328998</c:v>
                </c:pt>
                <c:pt idx="21">
                  <c:v>146111040.61322901</c:v>
                </c:pt>
                <c:pt idx="22">
                  <c:v>150441146.18871045</c:v>
                </c:pt>
                <c:pt idx="23">
                  <c:v>158304064.88666499</c:v>
                </c:pt>
                <c:pt idx="24">
                  <c:v>160416837.3050085</c:v>
                </c:pt>
                <c:pt idx="25">
                  <c:v>161149273.24234867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8F-4A2A-A570-B2F3AA4AA4C9}"/>
            </c:ext>
          </c:extLst>
        </c:ser>
        <c:ser>
          <c:idx val="1"/>
          <c:order val="1"/>
          <c:tx>
            <c:strRef>
              <c:f>'Chart tables'!$B$81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'Chart tables'!$D$79:$AC$79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'Chart tables'!$D$81:$AC$81</c:f>
              <c:numCache>
                <c:formatCode>#,##0</c:formatCode>
                <c:ptCount val="26"/>
                <c:pt idx="0">
                  <c:v>0</c:v>
                </c:pt>
                <c:pt idx="1">
                  <c:v>-351.27478753541078</c:v>
                </c:pt>
                <c:pt idx="2">
                  <c:v>-442.22594943650404</c:v>
                </c:pt>
                <c:pt idx="3">
                  <c:v>-479.27395184025255</c:v>
                </c:pt>
                <c:pt idx="4">
                  <c:v>-554.01238917290686</c:v>
                </c:pt>
                <c:pt idx="5">
                  <c:v>-575.03459242883196</c:v>
                </c:pt>
                <c:pt idx="6">
                  <c:v>-588.50491017679417</c:v>
                </c:pt>
                <c:pt idx="7">
                  <c:v>-602.56368820508339</c:v>
                </c:pt>
                <c:pt idx="8">
                  <c:v>-617.7357135964653</c:v>
                </c:pt>
                <c:pt idx="9">
                  <c:v>-629.07772187614171</c:v>
                </c:pt>
                <c:pt idx="10">
                  <c:v>-643.16997409978421</c:v>
                </c:pt>
                <c:pt idx="11">
                  <c:v>-674.0425191034202</c:v>
                </c:pt>
                <c:pt idx="12">
                  <c:v>-695.1529826206081</c:v>
                </c:pt>
                <c:pt idx="13">
                  <c:v>-715.08732021946344</c:v>
                </c:pt>
                <c:pt idx="14">
                  <c:v>-752.28661022137442</c:v>
                </c:pt>
                <c:pt idx="15">
                  <c:v>-782.33484383726216</c:v>
                </c:pt>
                <c:pt idx="16">
                  <c:v>3002374.9441271997</c:v>
                </c:pt>
                <c:pt idx="17">
                  <c:v>5199004.018076201</c:v>
                </c:pt>
                <c:pt idx="18">
                  <c:v>3589732.785629455</c:v>
                </c:pt>
                <c:pt idx="19">
                  <c:v>1316415.9379385365</c:v>
                </c:pt>
                <c:pt idx="20">
                  <c:v>9116368.7706489339</c:v>
                </c:pt>
                <c:pt idx="21">
                  <c:v>8501017.6865703259</c:v>
                </c:pt>
                <c:pt idx="22">
                  <c:v>-3730775.5315357633</c:v>
                </c:pt>
                <c:pt idx="23">
                  <c:v>-2529082.0632090243</c:v>
                </c:pt>
                <c:pt idx="24">
                  <c:v>-1299049.8535348473</c:v>
                </c:pt>
                <c:pt idx="25">
                  <c:v>-849186.13556849933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8F-4A2A-A570-B2F3AA4AA4C9}"/>
            </c:ext>
          </c:extLst>
        </c:ser>
        <c:ser>
          <c:idx val="2"/>
          <c:order val="2"/>
          <c:tx>
            <c:strRef>
              <c:f>'Chart tables'!$B$82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'Chart tables'!$D$79:$AC$79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'Chart tables'!$D$82:$AC$82</c:f>
              <c:numCache>
                <c:formatCode>#,##0</c:formatCode>
                <c:ptCount val="26"/>
                <c:pt idx="0">
                  <c:v>0</c:v>
                </c:pt>
                <c:pt idx="1">
                  <c:v>-13093069.877242683</c:v>
                </c:pt>
                <c:pt idx="2">
                  <c:v>-24978960.944501065</c:v>
                </c:pt>
                <c:pt idx="3">
                  <c:v>-35922279.884525485</c:v>
                </c:pt>
                <c:pt idx="4">
                  <c:v>-46635141.990362279</c:v>
                </c:pt>
                <c:pt idx="5">
                  <c:v>-48805376.651417442</c:v>
                </c:pt>
                <c:pt idx="6">
                  <c:v>-48442988.237864472</c:v>
                </c:pt>
                <c:pt idx="7">
                  <c:v>-47273055.559356228</c:v>
                </c:pt>
                <c:pt idx="8">
                  <c:v>-47607350.277320415</c:v>
                </c:pt>
                <c:pt idx="9">
                  <c:v>-45509233.952009372</c:v>
                </c:pt>
                <c:pt idx="10">
                  <c:v>-46312097.182004645</c:v>
                </c:pt>
                <c:pt idx="11">
                  <c:v>-49496221.744310774</c:v>
                </c:pt>
                <c:pt idx="12">
                  <c:v>-49963507.383194648</c:v>
                </c:pt>
                <c:pt idx="13">
                  <c:v>-53340506.626228854</c:v>
                </c:pt>
                <c:pt idx="14">
                  <c:v>-56528021.012359709</c:v>
                </c:pt>
                <c:pt idx="15">
                  <c:v>-57867048.173762329</c:v>
                </c:pt>
                <c:pt idx="16">
                  <c:v>-55269220.141781941</c:v>
                </c:pt>
                <c:pt idx="17">
                  <c:v>-53645988.393812612</c:v>
                </c:pt>
                <c:pt idx="18">
                  <c:v>-45204909.15119122</c:v>
                </c:pt>
                <c:pt idx="19">
                  <c:v>-42568519.116287641</c:v>
                </c:pt>
                <c:pt idx="20">
                  <c:v>-35374000.178132817</c:v>
                </c:pt>
                <c:pt idx="21">
                  <c:v>-29237769.767108411</c:v>
                </c:pt>
                <c:pt idx="22">
                  <c:v>-17479200.500656545</c:v>
                </c:pt>
                <c:pt idx="23">
                  <c:v>15726755.563637193</c:v>
                </c:pt>
                <c:pt idx="24">
                  <c:v>45904150.351496398</c:v>
                </c:pt>
                <c:pt idx="25">
                  <c:v>70960128.691371828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8F-4A2A-A570-B2F3AA4AA4C9}"/>
            </c:ext>
          </c:extLst>
        </c:ser>
        <c:ser>
          <c:idx val="3"/>
          <c:order val="3"/>
          <c:tx>
            <c:strRef>
              <c:f>'Chart tables'!$B$83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'Chart tables'!$D$79:$AC$79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'Chart tables'!$D$83:$AC$83</c:f>
              <c:numCache>
                <c:formatCode>#,##0</c:formatCode>
                <c:ptCount val="26"/>
                <c:pt idx="0">
                  <c:v>0</c:v>
                </c:pt>
                <c:pt idx="1">
                  <c:v>-868661.00094428717</c:v>
                </c:pt>
                <c:pt idx="2">
                  <c:v>-884185.1159315228</c:v>
                </c:pt>
                <c:pt idx="3">
                  <c:v>-4621336.6824053908</c:v>
                </c:pt>
                <c:pt idx="4">
                  <c:v>-10404966.679944046</c:v>
                </c:pt>
                <c:pt idx="5">
                  <c:v>-9219320.4226536583</c:v>
                </c:pt>
                <c:pt idx="6">
                  <c:v>-9219689.7929455899</c:v>
                </c:pt>
                <c:pt idx="7">
                  <c:v>628800.87310945615</c:v>
                </c:pt>
                <c:pt idx="8">
                  <c:v>628429.79065509199</c:v>
                </c:pt>
                <c:pt idx="9">
                  <c:v>8279874.532111479</c:v>
                </c:pt>
                <c:pt idx="10">
                  <c:v>8279506.4424833972</c:v>
                </c:pt>
                <c:pt idx="11">
                  <c:v>8279138.633369647</c:v>
                </c:pt>
                <c:pt idx="12">
                  <c:v>10219818.518203888</c:v>
                </c:pt>
                <c:pt idx="13">
                  <c:v>12493944.363429308</c:v>
                </c:pt>
                <c:pt idx="14">
                  <c:v>14260015.614638949</c:v>
                </c:pt>
                <c:pt idx="15">
                  <c:v>16660639.251828838</c:v>
                </c:pt>
                <c:pt idx="16">
                  <c:v>16307446.521583045</c:v>
                </c:pt>
                <c:pt idx="17">
                  <c:v>16444179.404966144</c:v>
                </c:pt>
                <c:pt idx="18">
                  <c:v>18831522.568479568</c:v>
                </c:pt>
                <c:pt idx="19">
                  <c:v>19011973.970352184</c:v>
                </c:pt>
                <c:pt idx="20">
                  <c:v>18874046.56252386</c:v>
                </c:pt>
                <c:pt idx="21">
                  <c:v>19023757.37937969</c:v>
                </c:pt>
                <c:pt idx="22">
                  <c:v>18001636.358275026</c:v>
                </c:pt>
                <c:pt idx="23">
                  <c:v>18687560.96534067</c:v>
                </c:pt>
                <c:pt idx="24">
                  <c:v>19151998.975288726</c:v>
                </c:pt>
                <c:pt idx="25">
                  <c:v>18733955.829928104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8F-4A2A-A570-B2F3AA4AA4C9}"/>
            </c:ext>
          </c:extLst>
        </c:ser>
        <c:ser>
          <c:idx val="4"/>
          <c:order val="4"/>
          <c:tx>
            <c:strRef>
              <c:f>'Chart tables'!$B$84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'Chart tables'!$D$79:$AC$79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'Chart tables'!$D$84:$AC$84</c:f>
              <c:numCache>
                <c:formatCode>#,##0</c:formatCode>
                <c:ptCount val="26"/>
                <c:pt idx="0">
                  <c:v>0</c:v>
                </c:pt>
                <c:pt idx="1">
                  <c:v>267020603.39943346</c:v>
                </c:pt>
                <c:pt idx="2">
                  <c:v>264766781.89019701</c:v>
                </c:pt>
                <c:pt idx="3">
                  <c:v>262698945.95203167</c:v>
                </c:pt>
                <c:pt idx="4">
                  <c:v>428593199.69952977</c:v>
                </c:pt>
                <c:pt idx="5">
                  <c:v>965357690.76544535</c:v>
                </c:pt>
                <c:pt idx="6">
                  <c:v>965044153.52265155</c:v>
                </c:pt>
                <c:pt idx="7">
                  <c:v>964849839.11793518</c:v>
                </c:pt>
                <c:pt idx="8">
                  <c:v>964377152.13819575</c:v>
                </c:pt>
                <c:pt idx="9">
                  <c:v>964427037.27534878</c:v>
                </c:pt>
                <c:pt idx="10">
                  <c:v>964038561.2315104</c:v>
                </c:pt>
                <c:pt idx="11">
                  <c:v>963522152.97752309</c:v>
                </c:pt>
                <c:pt idx="12">
                  <c:v>976891377.85726285</c:v>
                </c:pt>
                <c:pt idx="13">
                  <c:v>1027846046.993933</c:v>
                </c:pt>
                <c:pt idx="14">
                  <c:v>1027452580.6917142</c:v>
                </c:pt>
                <c:pt idx="15">
                  <c:v>1151684037.9586232</c:v>
                </c:pt>
                <c:pt idx="16">
                  <c:v>1369333165.5391181</c:v>
                </c:pt>
                <c:pt idx="17">
                  <c:v>1359283281.6287591</c:v>
                </c:pt>
                <c:pt idx="18">
                  <c:v>1383457672.6238611</c:v>
                </c:pt>
                <c:pt idx="19">
                  <c:v>1379804832.1153064</c:v>
                </c:pt>
                <c:pt idx="20">
                  <c:v>1344807929.2602527</c:v>
                </c:pt>
                <c:pt idx="21">
                  <c:v>1316882243.190484</c:v>
                </c:pt>
                <c:pt idx="22">
                  <c:v>1289064162.5582733</c:v>
                </c:pt>
                <c:pt idx="23">
                  <c:v>1238762641.2290888</c:v>
                </c:pt>
                <c:pt idx="24">
                  <c:v>1253991381.1233697</c:v>
                </c:pt>
                <c:pt idx="25">
                  <c:v>1253856092.9357615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8F-4A2A-A570-B2F3AA4AA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73224024"/>
        <c:axId val="673222056"/>
      </c:barChart>
      <c:catAx>
        <c:axId val="673224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t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222056"/>
        <c:crosses val="autoZero"/>
        <c:auto val="1"/>
        <c:lblAlgn val="ctr"/>
        <c:lblOffset val="100"/>
        <c:noMultiLvlLbl val="0"/>
      </c:catAx>
      <c:valAx>
        <c:axId val="673222056"/>
        <c:scaling>
          <c:orientation val="minMax"/>
          <c:max val="30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224024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'Chart tables'!$B$87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tables'!$D$86:$AC$86</c15:sqref>
                  </c15:fullRef>
                </c:ext>
              </c:extLst>
              <c:f>'Chart tables'!$D$86:$AB$86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tables'!$D$87:$AC$87</c15:sqref>
                  </c15:fullRef>
                </c:ext>
              </c:extLst>
              <c:f>'Chart tables'!$D$87:$AB$87</c:f>
              <c:numCache>
                <c:formatCode>#,##0</c:formatCode>
                <c:ptCount val="25"/>
                <c:pt idx="0">
                  <c:v>0</c:v>
                </c:pt>
                <c:pt idx="1">
                  <c:v>-123.70160528800757</c:v>
                </c:pt>
                <c:pt idx="2">
                  <c:v>-499.09806764448086</c:v>
                </c:pt>
                <c:pt idx="3">
                  <c:v>-643.92207704095222</c:v>
                </c:pt>
                <c:pt idx="4">
                  <c:v>-4832661.9957391238</c:v>
                </c:pt>
                <c:pt idx="5">
                  <c:v>111485323.1237179</c:v>
                </c:pt>
                <c:pt idx="6">
                  <c:v>111485016.14226606</c:v>
                </c:pt>
                <c:pt idx="7">
                  <c:v>125317340.72980057</c:v>
                </c:pt>
                <c:pt idx="8">
                  <c:v>125317045.50747316</c:v>
                </c:pt>
                <c:pt idx="9">
                  <c:v>150632104.14127856</c:v>
                </c:pt>
                <c:pt idx="10">
                  <c:v>153700238.29245511</c:v>
                </c:pt>
                <c:pt idx="11">
                  <c:v>153699964.69783214</c:v>
                </c:pt>
                <c:pt idx="12">
                  <c:v>153699691.76969665</c:v>
                </c:pt>
                <c:pt idx="13">
                  <c:v>153699416.01135987</c:v>
                </c:pt>
                <c:pt idx="14">
                  <c:v>172760380.16405028</c:v>
                </c:pt>
                <c:pt idx="15">
                  <c:v>177883631.08129084</c:v>
                </c:pt>
                <c:pt idx="16">
                  <c:v>181899615.12978664</c:v>
                </c:pt>
                <c:pt idx="17">
                  <c:v>181899341.15834254</c:v>
                </c:pt>
                <c:pt idx="18">
                  <c:v>182475488.88631275</c:v>
                </c:pt>
                <c:pt idx="19">
                  <c:v>182475213.97107354</c:v>
                </c:pt>
                <c:pt idx="20">
                  <c:v>182474935.30737868</c:v>
                </c:pt>
                <c:pt idx="21">
                  <c:v>182474655.66644076</c:v>
                </c:pt>
                <c:pt idx="22">
                  <c:v>182474371.77218896</c:v>
                </c:pt>
                <c:pt idx="23">
                  <c:v>181881901.39502135</c:v>
                </c:pt>
                <c:pt idx="24">
                  <c:v>181715276.93469003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86-4E70-B66F-62A3A677216B}"/>
            </c:ext>
          </c:extLst>
        </c:ser>
        <c:ser>
          <c:idx val="1"/>
          <c:order val="1"/>
          <c:tx>
            <c:strRef>
              <c:f>'Chart tables'!$B$88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tables'!$D$86:$AC$86</c15:sqref>
                  </c15:fullRef>
                </c:ext>
              </c:extLst>
              <c:f>'Chart tables'!$D$86:$AB$86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tables'!$D$88:$AC$88</c15:sqref>
                  </c15:fullRef>
                </c:ext>
              </c:extLst>
              <c:f>'Chart tables'!$D$88:$AB$88</c:f>
              <c:numCache>
                <c:formatCode>#,##0</c:formatCode>
                <c:ptCount val="25"/>
                <c:pt idx="0">
                  <c:v>0</c:v>
                </c:pt>
                <c:pt idx="1">
                  <c:v>-1765.8168083097264</c:v>
                </c:pt>
                <c:pt idx="2">
                  <c:v>-1924.5355026077127</c:v>
                </c:pt>
                <c:pt idx="3">
                  <c:v>-1975.8975059401823</c:v>
                </c:pt>
                <c:pt idx="4">
                  <c:v>-2313.8106534548424</c:v>
                </c:pt>
                <c:pt idx="5">
                  <c:v>85063491.84429957</c:v>
                </c:pt>
                <c:pt idx="6">
                  <c:v>85063643.56261526</c:v>
                </c:pt>
                <c:pt idx="7">
                  <c:v>147604404.822211</c:v>
                </c:pt>
                <c:pt idx="8">
                  <c:v>129862250.97288354</c:v>
                </c:pt>
                <c:pt idx="9">
                  <c:v>211733343.84411925</c:v>
                </c:pt>
                <c:pt idx="10">
                  <c:v>216558037.21297652</c:v>
                </c:pt>
                <c:pt idx="11">
                  <c:v>192884094.09493789</c:v>
                </c:pt>
                <c:pt idx="12">
                  <c:v>192884078.01077521</c:v>
                </c:pt>
                <c:pt idx="13">
                  <c:v>181593900.92343456</c:v>
                </c:pt>
                <c:pt idx="14">
                  <c:v>143475692.09886974</c:v>
                </c:pt>
                <c:pt idx="15">
                  <c:v>137340257.5447723</c:v>
                </c:pt>
                <c:pt idx="16">
                  <c:v>137340284.32038644</c:v>
                </c:pt>
                <c:pt idx="17">
                  <c:v>153760102.79963982</c:v>
                </c:pt>
                <c:pt idx="18">
                  <c:v>156338173.75353485</c:v>
                </c:pt>
                <c:pt idx="19">
                  <c:v>159331362.71671563</c:v>
                </c:pt>
                <c:pt idx="20">
                  <c:v>156145936.73173827</c:v>
                </c:pt>
                <c:pt idx="21">
                  <c:v>157634350.82753122</c:v>
                </c:pt>
                <c:pt idx="22">
                  <c:v>149440086.07557598</c:v>
                </c:pt>
                <c:pt idx="23">
                  <c:v>153578017.13318732</c:v>
                </c:pt>
                <c:pt idx="24">
                  <c:v>148799533.52397686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86-4E70-B66F-62A3A677216B}"/>
            </c:ext>
          </c:extLst>
        </c:ser>
        <c:ser>
          <c:idx val="2"/>
          <c:order val="2"/>
          <c:tx>
            <c:strRef>
              <c:f>'Chart tables'!$B$89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tables'!$D$86:$AC$86</c15:sqref>
                  </c15:fullRef>
                </c:ext>
              </c:extLst>
              <c:f>'Chart tables'!$D$86:$AB$86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tables'!$D$89:$AC$89</c15:sqref>
                  </c15:fullRef>
                </c:ext>
              </c:extLst>
              <c:f>'Chart tables'!$D$89:$AB$89</c:f>
              <c:numCache>
                <c:formatCode>#,##0</c:formatCode>
                <c:ptCount val="25"/>
                <c:pt idx="0">
                  <c:v>0</c:v>
                </c:pt>
                <c:pt idx="1">
                  <c:v>-121.81303116147311</c:v>
                </c:pt>
                <c:pt idx="2">
                  <c:v>182.24918656669169</c:v>
                </c:pt>
                <c:pt idx="3">
                  <c:v>158.67318503703356</c:v>
                </c:pt>
                <c:pt idx="4">
                  <c:v>521557.06962064008</c:v>
                </c:pt>
                <c:pt idx="5">
                  <c:v>1829135.1089672875</c:v>
                </c:pt>
                <c:pt idx="6">
                  <c:v>1945354.1746403379</c:v>
                </c:pt>
                <c:pt idx="7">
                  <c:v>3356791.2199810175</c:v>
                </c:pt>
                <c:pt idx="8">
                  <c:v>9962875.0361965522</c:v>
                </c:pt>
                <c:pt idx="9">
                  <c:v>7911919.3782602064</c:v>
                </c:pt>
                <c:pt idx="10">
                  <c:v>11517246.80206147</c:v>
                </c:pt>
                <c:pt idx="11">
                  <c:v>9203837.6596211642</c:v>
                </c:pt>
                <c:pt idx="12">
                  <c:v>4566879.1113633169</c:v>
                </c:pt>
                <c:pt idx="13">
                  <c:v>3979765.8809955427</c:v>
                </c:pt>
                <c:pt idx="14">
                  <c:v>25440854.667478032</c:v>
                </c:pt>
                <c:pt idx="15">
                  <c:v>59476879.088016465</c:v>
                </c:pt>
                <c:pt idx="16">
                  <c:v>119067508.61073366</c:v>
                </c:pt>
                <c:pt idx="17">
                  <c:v>172091479.61973739</c:v>
                </c:pt>
                <c:pt idx="18">
                  <c:v>321211731.93774927</c:v>
                </c:pt>
                <c:pt idx="19">
                  <c:v>430513441.27457148</c:v>
                </c:pt>
                <c:pt idx="20">
                  <c:v>537769920.17588496</c:v>
                </c:pt>
                <c:pt idx="21">
                  <c:v>641613333.09125304</c:v>
                </c:pt>
                <c:pt idx="22">
                  <c:v>755841943.64550567</c:v>
                </c:pt>
                <c:pt idx="23">
                  <c:v>881493602.68789303</c:v>
                </c:pt>
                <c:pt idx="24">
                  <c:v>984898666.44705498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86-4E70-B66F-62A3A677216B}"/>
            </c:ext>
          </c:extLst>
        </c:ser>
        <c:ser>
          <c:idx val="3"/>
          <c:order val="3"/>
          <c:tx>
            <c:strRef>
              <c:f>'Chart tables'!$B$90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tables'!$D$86:$AC$86</c15:sqref>
                  </c15:fullRef>
                </c:ext>
              </c:extLst>
              <c:f>'Chart tables'!$D$86:$AB$86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tables'!$D$90:$AC$90</c15:sqref>
                  </c15:fullRef>
                </c:ext>
              </c:extLst>
              <c:f>'Chart tables'!$D$90:$AB$90</c:f>
              <c:numCache>
                <c:formatCode>#,##0</c:formatCode>
                <c:ptCount val="25"/>
                <c:pt idx="0">
                  <c:v>0</c:v>
                </c:pt>
                <c:pt idx="1">
                  <c:v>-380.54768649669501</c:v>
                </c:pt>
                <c:pt idx="2">
                  <c:v>-770.21099777883001</c:v>
                </c:pt>
                <c:pt idx="3">
                  <c:v>-1037.967015151376</c:v>
                </c:pt>
                <c:pt idx="4">
                  <c:v>-1142904.534019585</c:v>
                </c:pt>
                <c:pt idx="5">
                  <c:v>6424328.08483137</c:v>
                </c:pt>
                <c:pt idx="6">
                  <c:v>8027276.7548083942</c:v>
                </c:pt>
                <c:pt idx="7">
                  <c:v>23982193.640657142</c:v>
                </c:pt>
                <c:pt idx="8">
                  <c:v>25102896.789894201</c:v>
                </c:pt>
                <c:pt idx="9">
                  <c:v>29399583.81700597</c:v>
                </c:pt>
                <c:pt idx="10">
                  <c:v>35013686.260815546</c:v>
                </c:pt>
                <c:pt idx="11">
                  <c:v>39930137.455788806</c:v>
                </c:pt>
                <c:pt idx="12">
                  <c:v>42356340.40946544</c:v>
                </c:pt>
                <c:pt idx="13">
                  <c:v>44943825.023830242</c:v>
                </c:pt>
                <c:pt idx="14">
                  <c:v>46053306.845479526</c:v>
                </c:pt>
                <c:pt idx="15">
                  <c:v>51546854.842005409</c:v>
                </c:pt>
                <c:pt idx="16">
                  <c:v>54884622.575002693</c:v>
                </c:pt>
                <c:pt idx="17">
                  <c:v>59723369.989491731</c:v>
                </c:pt>
                <c:pt idx="18">
                  <c:v>70166904.839979276</c:v>
                </c:pt>
                <c:pt idx="19">
                  <c:v>70144928.782014266</c:v>
                </c:pt>
                <c:pt idx="20">
                  <c:v>70099353.763677478</c:v>
                </c:pt>
                <c:pt idx="21">
                  <c:v>69054545.009313062</c:v>
                </c:pt>
                <c:pt idx="22">
                  <c:v>69986341.759273127</c:v>
                </c:pt>
                <c:pt idx="23">
                  <c:v>69946454.905572996</c:v>
                </c:pt>
                <c:pt idx="24">
                  <c:v>70209473.013667554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86-4E70-B66F-62A3A677216B}"/>
            </c:ext>
          </c:extLst>
        </c:ser>
        <c:ser>
          <c:idx val="4"/>
          <c:order val="4"/>
          <c:tx>
            <c:strRef>
              <c:f>'Chart tables'!$B$91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tables'!$D$86:$AC$86</c15:sqref>
                  </c15:fullRef>
                </c:ext>
              </c:extLst>
              <c:f>'Chart tables'!$D$86:$AB$86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tables'!$D$91:$AC$91</c15:sqref>
                  </c15:fullRef>
                </c:ext>
              </c:extLst>
              <c:f>'Chart tables'!$D$91:$AB$91</c:f>
              <c:numCache>
                <c:formatCode>#,##0</c:formatCode>
                <c:ptCount val="25"/>
                <c:pt idx="0">
                  <c:v>0</c:v>
                </c:pt>
                <c:pt idx="1">
                  <c:v>-34179.414542020779</c:v>
                </c:pt>
                <c:pt idx="2">
                  <c:v>-35857.552646901735</c:v>
                </c:pt>
                <c:pt idx="3">
                  <c:v>-54730.983871447701</c:v>
                </c:pt>
                <c:pt idx="4">
                  <c:v>61746216.491431154</c:v>
                </c:pt>
                <c:pt idx="5">
                  <c:v>17192961.681166932</c:v>
                </c:pt>
                <c:pt idx="6">
                  <c:v>170682391.61237669</c:v>
                </c:pt>
                <c:pt idx="7">
                  <c:v>400531712.79372346</c:v>
                </c:pt>
                <c:pt idx="8">
                  <c:v>229805786.97416347</c:v>
                </c:pt>
                <c:pt idx="9">
                  <c:v>1062484469.3227832</c:v>
                </c:pt>
                <c:pt idx="10">
                  <c:v>897030370.87243593</c:v>
                </c:pt>
                <c:pt idx="11">
                  <c:v>1143752525.7099597</c:v>
                </c:pt>
                <c:pt idx="12">
                  <c:v>1254538444.8640227</c:v>
                </c:pt>
                <c:pt idx="13">
                  <c:v>1237198994.6381876</c:v>
                </c:pt>
                <c:pt idx="14">
                  <c:v>1058332307.106638</c:v>
                </c:pt>
                <c:pt idx="15">
                  <c:v>1061276750.0240265</c:v>
                </c:pt>
                <c:pt idx="16">
                  <c:v>1088689282.1011739</c:v>
                </c:pt>
                <c:pt idx="17">
                  <c:v>1085297353.3537858</c:v>
                </c:pt>
                <c:pt idx="18">
                  <c:v>858777303.76650751</c:v>
                </c:pt>
                <c:pt idx="19">
                  <c:v>1024318409.4553249</c:v>
                </c:pt>
                <c:pt idx="20">
                  <c:v>1029237312.363771</c:v>
                </c:pt>
                <c:pt idx="21">
                  <c:v>1030754909.9318668</c:v>
                </c:pt>
                <c:pt idx="22">
                  <c:v>1105006400.9126985</c:v>
                </c:pt>
                <c:pt idx="23">
                  <c:v>1051085579.0226439</c:v>
                </c:pt>
                <c:pt idx="24">
                  <c:v>1050867989.5948101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86-4E70-B66F-62A3A6772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73224024"/>
        <c:axId val="673222056"/>
      </c:barChart>
      <c:catAx>
        <c:axId val="673224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t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222056"/>
        <c:crosses val="autoZero"/>
        <c:auto val="1"/>
        <c:lblAlgn val="ctr"/>
        <c:lblOffset val="100"/>
        <c:noMultiLvlLbl val="0"/>
      </c:catAx>
      <c:valAx>
        <c:axId val="6732220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224024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Central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035-4D8A-A6BA-B20DD04A2A1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035-4D8A-A6BA-B20DD04A2A1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35-4D8A-A6BA-B20DD04A2A11}"/>
              </c:ext>
            </c:extLst>
          </c:dPt>
          <c:cat>
            <c:multiLvlStrRef>
              <c:f>'Chart tables'!$D$8:$O$9</c:f>
              <c:multiLvlStrCache>
                <c:ptCount val="12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2A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3A</c:v>
                  </c:pt>
                  <c:pt idx="7">
                    <c:v>Option 3B</c:v>
                  </c:pt>
                  <c:pt idx="8">
                    <c:v>Option 3C</c:v>
                  </c:pt>
                  <c:pt idx="9">
                    <c:v>Option 4A</c:v>
                  </c:pt>
                  <c:pt idx="10">
                    <c:v>Option 4B</c:v>
                  </c:pt>
                  <c:pt idx="11">
                    <c:v>Option 4C</c:v>
                  </c:pt>
                </c:lvl>
                <c:lvl>
                  <c:pt idx="0">
                    <c:v>Route 1</c:v>
                  </c:pt>
                  <c:pt idx="3">
                    <c:v>Route 2</c:v>
                  </c:pt>
                  <c:pt idx="6">
                    <c:v>Route 3</c:v>
                  </c:pt>
                  <c:pt idx="9">
                    <c:v>Route 4</c:v>
                  </c:pt>
                </c:lvl>
              </c:multiLvlStrCache>
            </c:multiLvlStrRef>
          </c:cat>
          <c:val>
            <c:numRef>
              <c:f>'Chart tables'!$D$10:$O$10</c:f>
              <c:numCache>
                <c:formatCode>#,##0</c:formatCode>
                <c:ptCount val="12"/>
                <c:pt idx="0">
                  <c:v>333648454.02316904</c:v>
                </c:pt>
                <c:pt idx="1">
                  <c:v>539815381.44109583</c:v>
                </c:pt>
                <c:pt idx="2">
                  <c:v>451576298.86493337</c:v>
                </c:pt>
                <c:pt idx="3">
                  <c:v>762794109.35910845</c:v>
                </c:pt>
                <c:pt idx="4">
                  <c:v>952860883.77115726</c:v>
                </c:pt>
                <c:pt idx="5">
                  <c:v>1154773869.9201288</c:v>
                </c:pt>
                <c:pt idx="6">
                  <c:v>782357141.01805532</c:v>
                </c:pt>
                <c:pt idx="7">
                  <c:v>1096480906.4244585</c:v>
                </c:pt>
                <c:pt idx="8">
                  <c:v>1168026436.1891193</c:v>
                </c:pt>
                <c:pt idx="9">
                  <c:v>656308249.1944114</c:v>
                </c:pt>
                <c:pt idx="10">
                  <c:v>969602303.37465107</c:v>
                </c:pt>
                <c:pt idx="11">
                  <c:v>967802642.50086617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35-4D8A-A6BA-B20DD04A2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ax val="1600000000"/>
          <c:min val="-2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729117</xdr:colOff>
      <xdr:row>8</xdr:row>
      <xdr:rowOff>188915</xdr:rowOff>
    </xdr:from>
    <xdr:to>
      <xdr:col>6</xdr:col>
      <xdr:colOff>691413</xdr:colOff>
      <xdr:row>24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117" y="1839915"/>
          <a:ext cx="4864496" cy="3074985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</xdr:colOff>
      <xdr:row>1</xdr:row>
      <xdr:rowOff>190500</xdr:rowOff>
    </xdr:from>
    <xdr:to>
      <xdr:col>3</xdr:col>
      <xdr:colOff>819151</xdr:colOff>
      <xdr:row>5</xdr:row>
      <xdr:rowOff>161307</xdr:rowOff>
    </xdr:to>
    <xdr:pic>
      <xdr:nvPicPr>
        <xdr:cNvPr id="7" name="Picture 6" descr="http://www.demandresponse.com.au/wp-content/uploads/sites/18/2015/04/TransGrid-logo-1024x315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390525"/>
          <a:ext cx="2343150" cy="770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9</xdr:col>
      <xdr:colOff>332163</xdr:colOff>
      <xdr:row>6</xdr:row>
      <xdr:rowOff>26987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251" t="34056" r="23117" b="36360"/>
        <a:stretch/>
      </xdr:blipFill>
      <xdr:spPr>
        <a:xfrm>
          <a:off x="4143375" y="200025"/>
          <a:ext cx="2735638" cy="10302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39</xdr:row>
      <xdr:rowOff>11905</xdr:rowOff>
    </xdr:from>
    <xdr:to>
      <xdr:col>7</xdr:col>
      <xdr:colOff>808224</xdr:colOff>
      <xdr:row>53</xdr:row>
      <xdr:rowOff>85205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39</xdr:row>
      <xdr:rowOff>30955</xdr:rowOff>
    </xdr:from>
    <xdr:to>
      <xdr:col>16</xdr:col>
      <xdr:colOff>805050</xdr:colOff>
      <xdr:row>53</xdr:row>
      <xdr:rowOff>104255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3174</xdr:colOff>
      <xdr:row>39</xdr:row>
      <xdr:rowOff>8731</xdr:rowOff>
    </xdr:from>
    <xdr:to>
      <xdr:col>25</xdr:col>
      <xdr:colOff>808224</xdr:colOff>
      <xdr:row>53</xdr:row>
      <xdr:rowOff>88381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3174</xdr:colOff>
      <xdr:row>39</xdr:row>
      <xdr:rowOff>8731</xdr:rowOff>
    </xdr:from>
    <xdr:to>
      <xdr:col>34</xdr:col>
      <xdr:colOff>808224</xdr:colOff>
      <xdr:row>53</xdr:row>
      <xdr:rowOff>88381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3172</xdr:colOff>
      <xdr:row>57</xdr:row>
      <xdr:rowOff>6544</xdr:rowOff>
    </xdr:from>
    <xdr:to>
      <xdr:col>7</xdr:col>
      <xdr:colOff>808222</xdr:colOff>
      <xdr:row>71</xdr:row>
      <xdr:rowOff>86194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3174</xdr:colOff>
      <xdr:row>57</xdr:row>
      <xdr:rowOff>6544</xdr:rowOff>
    </xdr:from>
    <xdr:to>
      <xdr:col>16</xdr:col>
      <xdr:colOff>808224</xdr:colOff>
      <xdr:row>71</xdr:row>
      <xdr:rowOff>86194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0</xdr:colOff>
      <xdr:row>57</xdr:row>
      <xdr:rowOff>9718</xdr:rowOff>
    </xdr:from>
    <xdr:to>
      <xdr:col>25</xdr:col>
      <xdr:colOff>805050</xdr:colOff>
      <xdr:row>71</xdr:row>
      <xdr:rowOff>83018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3174</xdr:colOff>
      <xdr:row>57</xdr:row>
      <xdr:rowOff>6543</xdr:rowOff>
    </xdr:from>
    <xdr:to>
      <xdr:col>34</xdr:col>
      <xdr:colOff>808224</xdr:colOff>
      <xdr:row>71</xdr:row>
      <xdr:rowOff>86193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37</xdr:col>
      <xdr:colOff>0</xdr:colOff>
      <xdr:row>39</xdr:row>
      <xdr:rowOff>6350</xdr:rowOff>
    </xdr:from>
    <xdr:to>
      <xdr:col>40</xdr:col>
      <xdr:colOff>579350</xdr:colOff>
      <xdr:row>50</xdr:row>
      <xdr:rowOff>152425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40</xdr:col>
      <xdr:colOff>577850</xdr:colOff>
      <xdr:row>39</xdr:row>
      <xdr:rowOff>6351</xdr:rowOff>
    </xdr:from>
    <xdr:to>
      <xdr:col>44</xdr:col>
      <xdr:colOff>274550</xdr:colOff>
      <xdr:row>50</xdr:row>
      <xdr:rowOff>152426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0</xdr:colOff>
      <xdr:row>50</xdr:row>
      <xdr:rowOff>149227</xdr:rowOff>
    </xdr:from>
    <xdr:to>
      <xdr:col>40</xdr:col>
      <xdr:colOff>579350</xdr:colOff>
      <xdr:row>62</xdr:row>
      <xdr:rowOff>95277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40</xdr:col>
      <xdr:colOff>577850</xdr:colOff>
      <xdr:row>50</xdr:row>
      <xdr:rowOff>152401</xdr:rowOff>
    </xdr:from>
    <xdr:to>
      <xdr:col>44</xdr:col>
      <xdr:colOff>274550</xdr:colOff>
      <xdr:row>62</xdr:row>
      <xdr:rowOff>95276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21</xdr:row>
      <xdr:rowOff>0</xdr:rowOff>
    </xdr:from>
    <xdr:to>
      <xdr:col>7</xdr:col>
      <xdr:colOff>805050</xdr:colOff>
      <xdr:row>37</xdr:row>
      <xdr:rowOff>82825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40C3E13-BBD1-494F-B2A1-676F025AD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21</xdr:row>
      <xdr:rowOff>0</xdr:rowOff>
    </xdr:from>
    <xdr:to>
      <xdr:col>16</xdr:col>
      <xdr:colOff>805050</xdr:colOff>
      <xdr:row>37</xdr:row>
      <xdr:rowOff>82825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90F201ED-0CB6-4851-A47A-9FE156404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0</xdr:colOff>
      <xdr:row>21</xdr:row>
      <xdr:rowOff>0</xdr:rowOff>
    </xdr:from>
    <xdr:to>
      <xdr:col>25</xdr:col>
      <xdr:colOff>805050</xdr:colOff>
      <xdr:row>37</xdr:row>
      <xdr:rowOff>82825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5B25A381-D892-46B6-8951-318156BC6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21</xdr:row>
      <xdr:rowOff>0</xdr:rowOff>
    </xdr:from>
    <xdr:to>
      <xdr:col>34</xdr:col>
      <xdr:colOff>805050</xdr:colOff>
      <xdr:row>37</xdr:row>
      <xdr:rowOff>82825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FE56B1B-90F7-4995-8671-C518D1750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</xdr:col>
      <xdr:colOff>0</xdr:colOff>
      <xdr:row>21</xdr:row>
      <xdr:rowOff>0</xdr:rowOff>
    </xdr:from>
    <xdr:to>
      <xdr:col>43</xdr:col>
      <xdr:colOff>805050</xdr:colOff>
      <xdr:row>37</xdr:row>
      <xdr:rowOff>82825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DC715112-C123-4CEB-9A44-4D0112A90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umeLink%20RIT-T%20PADR%20NPV%20model%20-%20FOR%20PUBLIC%20RELEASE%20(8%20Jan%2020)%20(00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 of the model"/>
      <sheetName val="Interface and charts"/>
      <sheetName val="Chart tables"/>
      <sheetName val="Option inputs"/>
      <sheetName val="CBA Inputs"/>
      <sheetName val="Calculation"/>
    </sheetNames>
    <sheetDataSet>
      <sheetData sheetId="0"/>
      <sheetData sheetId="1"/>
      <sheetData sheetId="2">
        <row r="6">
          <cell r="B6" t="str">
            <v>Summary of the estimated net market benefits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Custom 2">
      <a:dk1>
        <a:srgbClr val="425364"/>
      </a:dk1>
      <a:lt1>
        <a:sysClr val="window" lastClr="FFFFFF"/>
      </a:lt1>
      <a:dk2>
        <a:srgbClr val="002395"/>
      </a:dk2>
      <a:lt2>
        <a:srgbClr val="E0E1F1"/>
      </a:lt2>
      <a:accent1>
        <a:srgbClr val="00AB91"/>
      </a:accent1>
      <a:accent2>
        <a:srgbClr val="002395"/>
      </a:accent2>
      <a:accent3>
        <a:srgbClr val="77216F"/>
      </a:accent3>
      <a:accent4>
        <a:srgbClr val="F47721"/>
      </a:accent4>
      <a:accent5>
        <a:srgbClr val="CB1334"/>
      </a:accent5>
      <a:accent6>
        <a:srgbClr val="212F63"/>
      </a:accent6>
      <a:hlink>
        <a:srgbClr val="002395"/>
      </a:hlink>
      <a:folHlink>
        <a:srgbClr val="77216F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 tint="4.9989318521683403E-2"/>
  </sheetPr>
  <dimension ref="B6:K41"/>
  <sheetViews>
    <sheetView showGridLines="0" workbookViewId="0">
      <selection activeCell="N12" sqref="N12"/>
    </sheetView>
  </sheetViews>
  <sheetFormatPr defaultRowHeight="15.5" x14ac:dyDescent="0.35"/>
  <cols>
    <col min="4" max="4" width="13.23046875" bestFit="1" customWidth="1"/>
    <col min="8" max="8" width="1.84375" customWidth="1"/>
    <col min="9" max="9" width="8.765625" customWidth="1"/>
    <col min="11" max="11" width="16.3828125" customWidth="1"/>
  </cols>
  <sheetData>
    <row r="6" spans="2:11" x14ac:dyDescent="0.35">
      <c r="B6" s="4"/>
      <c r="C6" s="4"/>
      <c r="D6" s="4"/>
      <c r="E6" s="4"/>
      <c r="F6" s="4"/>
      <c r="G6" s="4"/>
      <c r="H6" s="4"/>
      <c r="I6" s="4"/>
    </row>
    <row r="7" spans="2:11" x14ac:dyDescent="0.35">
      <c r="B7" s="4"/>
      <c r="C7" s="4"/>
      <c r="D7" s="4"/>
      <c r="E7" s="4"/>
      <c r="F7" s="4"/>
      <c r="G7" s="4"/>
      <c r="H7" s="4"/>
      <c r="I7" s="4"/>
    </row>
    <row r="8" spans="2:11" ht="21.5" x14ac:dyDescent="0.45">
      <c r="B8" s="34" t="s">
        <v>104</v>
      </c>
      <c r="C8" s="4"/>
      <c r="D8" s="4"/>
      <c r="E8" s="4"/>
      <c r="F8" s="4"/>
      <c r="G8" s="4"/>
      <c r="H8" s="4"/>
      <c r="I8" s="4"/>
    </row>
    <row r="9" spans="2:11" ht="16" thickBot="1" x14ac:dyDescent="0.4">
      <c r="B9" s="33"/>
      <c r="C9" s="4"/>
      <c r="D9" s="4"/>
      <c r="E9" s="4"/>
      <c r="F9" s="4"/>
      <c r="G9" s="4"/>
      <c r="H9" s="4"/>
      <c r="I9" s="4"/>
    </row>
    <row r="10" spans="2:11" ht="16" thickBot="1" x14ac:dyDescent="0.4">
      <c r="I10" s="35" t="s">
        <v>177</v>
      </c>
      <c r="J10" s="36"/>
      <c r="K10" s="37"/>
    </row>
    <row r="11" spans="2:11" x14ac:dyDescent="0.35">
      <c r="I11" s="207" t="s">
        <v>4</v>
      </c>
      <c r="J11" s="208"/>
      <c r="K11" s="209"/>
    </row>
    <row r="12" spans="2:11" x14ac:dyDescent="0.35">
      <c r="I12" s="38" t="s">
        <v>1</v>
      </c>
      <c r="J12" s="39"/>
      <c r="K12" s="210"/>
    </row>
    <row r="13" spans="2:11" x14ac:dyDescent="0.35">
      <c r="I13" s="40" t="s">
        <v>0</v>
      </c>
      <c r="J13" s="41"/>
      <c r="K13" s="211"/>
    </row>
    <row r="14" spans="2:11" x14ac:dyDescent="0.35">
      <c r="I14" s="42" t="s">
        <v>2</v>
      </c>
      <c r="J14" s="43"/>
      <c r="K14" s="212"/>
    </row>
    <row r="15" spans="2:11" ht="16" thickBot="1" x14ac:dyDescent="0.4">
      <c r="I15" s="44" t="s">
        <v>3</v>
      </c>
      <c r="J15" s="45"/>
      <c r="K15" s="213"/>
    </row>
    <row r="16" spans="2:11" ht="15.75" customHeight="1" x14ac:dyDescent="0.35"/>
    <row r="40" spans="11:11" x14ac:dyDescent="0.35">
      <c r="K40" s="1"/>
    </row>
    <row r="41" spans="11:11" x14ac:dyDescent="0.35">
      <c r="K41" s="1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tabColor rgb="FF9ECCA6"/>
  </sheetPr>
  <dimension ref="A1:BD109"/>
  <sheetViews>
    <sheetView showGridLines="0" tabSelected="1" topLeftCell="A13" zoomScale="70" zoomScaleNormal="70" workbookViewId="0">
      <selection activeCell="S31" sqref="S31"/>
    </sheetView>
  </sheetViews>
  <sheetFormatPr defaultRowHeight="15.5" x14ac:dyDescent="0.35"/>
  <cols>
    <col min="1" max="1" width="5.69140625" style="96" customWidth="1"/>
    <col min="2" max="6" width="10.69140625" customWidth="1"/>
    <col min="7" max="7" width="10.69140625" style="15" customWidth="1"/>
    <col min="8" max="54" width="10.69140625" customWidth="1"/>
  </cols>
  <sheetData>
    <row r="1" spans="1:30" ht="18" x14ac:dyDescent="0.4">
      <c r="B1" s="106" t="str">
        <f ca="1">MID(CELL("filename",B2),FIND("]",CELL("filename",B2))+1,256)</f>
        <v>Interface and charts</v>
      </c>
    </row>
    <row r="2" spans="1:30" x14ac:dyDescent="0.35">
      <c r="B2" s="107"/>
    </row>
    <row r="3" spans="1:30" x14ac:dyDescent="0.35">
      <c r="F3" s="15"/>
    </row>
    <row r="4" spans="1:30" ht="21" x14ac:dyDescent="0.5">
      <c r="B4" s="6" t="s">
        <v>62</v>
      </c>
      <c r="C4" s="6"/>
      <c r="D4" s="6"/>
      <c r="E4" s="6"/>
      <c r="F4" s="6"/>
      <c r="G4" s="20"/>
      <c r="H4" s="20"/>
      <c r="I4" s="20"/>
      <c r="J4" s="20"/>
      <c r="K4" s="20"/>
      <c r="L4" s="20"/>
    </row>
    <row r="5" spans="1:30" x14ac:dyDescent="0.35">
      <c r="H5" s="15"/>
    </row>
    <row r="6" spans="1:30" s="110" customFormat="1" ht="31" x14ac:dyDescent="0.35">
      <c r="A6" s="108"/>
      <c r="B6" s="109" t="s">
        <v>67</v>
      </c>
      <c r="C6" s="109"/>
      <c r="D6" s="109"/>
      <c r="G6" s="111"/>
      <c r="H6" s="112" t="s">
        <v>68</v>
      </c>
      <c r="I6" s="112" t="s">
        <v>133</v>
      </c>
      <c r="J6" s="112" t="s">
        <v>145</v>
      </c>
      <c r="K6" s="112" t="s">
        <v>81</v>
      </c>
      <c r="L6" s="112" t="s">
        <v>82</v>
      </c>
    </row>
    <row r="7" spans="1:30" x14ac:dyDescent="0.35">
      <c r="B7" s="7" t="s">
        <v>70</v>
      </c>
      <c r="C7" s="7"/>
      <c r="D7" s="8"/>
      <c r="H7" s="7"/>
      <c r="I7" s="8" t="str">
        <f>I11</f>
        <v>Scenario 1</v>
      </c>
      <c r="J7" s="8" t="str">
        <f>J11</f>
        <v>Scenario 2</v>
      </c>
      <c r="K7" s="8" t="str">
        <f>K11</f>
        <v>Scenario 3</v>
      </c>
      <c r="L7" s="8" t="str">
        <f>L11</f>
        <v>Scenario 4</v>
      </c>
      <c r="M7" s="104"/>
    </row>
    <row r="8" spans="1:30" x14ac:dyDescent="0.35">
      <c r="B8" s="2" t="s">
        <v>45</v>
      </c>
      <c r="C8" s="2"/>
      <c r="D8" s="94" t="s">
        <v>71</v>
      </c>
      <c r="H8" s="2" t="s">
        <v>69</v>
      </c>
      <c r="I8" s="100">
        <f>1/4</f>
        <v>0.25</v>
      </c>
      <c r="J8" s="100">
        <f>I8</f>
        <v>0.25</v>
      </c>
      <c r="K8" s="100">
        <f t="shared" ref="K8:L8" si="0">J8</f>
        <v>0.25</v>
      </c>
      <c r="L8" s="100">
        <f t="shared" si="0"/>
        <v>0.25</v>
      </c>
    </row>
    <row r="9" spans="1:30" x14ac:dyDescent="0.35">
      <c r="H9" s="15"/>
    </row>
    <row r="10" spans="1:30" s="110" customFormat="1" x14ac:dyDescent="0.35">
      <c r="A10" s="121"/>
      <c r="B10" s="113" t="s">
        <v>83</v>
      </c>
      <c r="C10" s="113"/>
      <c r="D10" s="113"/>
      <c r="E10" s="113"/>
      <c r="F10" s="113"/>
      <c r="G10" s="113"/>
      <c r="H10" s="113"/>
      <c r="I10" s="112"/>
      <c r="J10" s="112"/>
      <c r="K10" s="112"/>
      <c r="L10" s="112"/>
    </row>
    <row r="11" spans="1:30" x14ac:dyDescent="0.35">
      <c r="A11" s="84"/>
      <c r="B11" s="177" t="s">
        <v>49</v>
      </c>
      <c r="C11" s="177"/>
      <c r="D11" s="177"/>
      <c r="E11" s="177"/>
      <c r="F11" s="8" t="s">
        <v>7</v>
      </c>
      <c r="G11" s="13" t="s">
        <v>8</v>
      </c>
      <c r="H11" s="8" t="s">
        <v>64</v>
      </c>
      <c r="I11" s="8" t="s">
        <v>71</v>
      </c>
      <c r="J11" s="8" t="s">
        <v>72</v>
      </c>
      <c r="K11" s="8" t="s">
        <v>73</v>
      </c>
      <c r="L11" s="8" t="s">
        <v>80</v>
      </c>
      <c r="M11" s="104"/>
    </row>
    <row r="12" spans="1:30" x14ac:dyDescent="0.35">
      <c r="A12" s="121" t="s">
        <v>60</v>
      </c>
      <c r="B12" s="2" t="str">
        <f>+'CBA Inputs'!B8</f>
        <v>Commercial discount rate</v>
      </c>
      <c r="C12" s="2"/>
      <c r="D12" s="2"/>
      <c r="E12" s="2"/>
      <c r="F12" s="12" t="s">
        <v>55</v>
      </c>
      <c r="G12" s="21">
        <f>'CBA Inputs'!J8</f>
        <v>5.8999999999999997E-2</v>
      </c>
      <c r="H12" s="97" t="str">
        <f t="shared" ref="H12:H14" si="1">INDEX($I12:$L12,1,MATCH($D$8,$I$11:$L$11,0))</f>
        <v>Base</v>
      </c>
      <c r="I12" s="48" t="s">
        <v>60</v>
      </c>
      <c r="J12" s="48" t="s">
        <v>60</v>
      </c>
      <c r="K12" s="48" t="s">
        <v>60</v>
      </c>
      <c r="L12" s="48" t="s">
        <v>60</v>
      </c>
      <c r="M12" s="95"/>
      <c r="Q12" s="82"/>
    </row>
    <row r="13" spans="1:30" x14ac:dyDescent="0.35">
      <c r="A13" s="84" t="s">
        <v>39</v>
      </c>
      <c r="B13" s="2" t="str">
        <f>+'CBA Inputs'!B12</f>
        <v>Capital cost</v>
      </c>
      <c r="C13" s="2"/>
      <c r="D13" s="2"/>
      <c r="E13" s="2"/>
      <c r="F13" s="12" t="s">
        <v>55</v>
      </c>
      <c r="G13" s="27">
        <f>'CBA Inputs'!J12</f>
        <v>1</v>
      </c>
      <c r="H13" s="97" t="str">
        <f t="shared" si="1"/>
        <v>Base</v>
      </c>
      <c r="I13" s="48" t="s">
        <v>60</v>
      </c>
      <c r="J13" s="48" t="s">
        <v>60</v>
      </c>
      <c r="K13" s="48" t="s">
        <v>60</v>
      </c>
      <c r="L13" s="48" t="s">
        <v>60</v>
      </c>
      <c r="M13" s="95"/>
    </row>
    <row r="14" spans="1:30" x14ac:dyDescent="0.35">
      <c r="A14" s="84" t="s">
        <v>40</v>
      </c>
      <c r="B14" s="2" t="str">
        <f>+'CBA Inputs'!B13</f>
        <v>Operating and maintenance cost</v>
      </c>
      <c r="C14" s="2"/>
      <c r="D14" s="2"/>
      <c r="E14" s="2"/>
      <c r="F14" s="12" t="s">
        <v>55</v>
      </c>
      <c r="G14" s="27">
        <f>'CBA Inputs'!J13</f>
        <v>1</v>
      </c>
      <c r="H14" s="97" t="str">
        <f t="shared" si="1"/>
        <v>Base</v>
      </c>
      <c r="I14" s="48" t="s">
        <v>60</v>
      </c>
      <c r="J14" s="48" t="s">
        <v>60</v>
      </c>
      <c r="K14" s="48" t="s">
        <v>60</v>
      </c>
      <c r="L14" s="48" t="s">
        <v>60</v>
      </c>
      <c r="M14" s="95"/>
    </row>
    <row r="15" spans="1:30" collapsed="1" x14ac:dyDescent="0.35">
      <c r="H15" s="15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</row>
    <row r="16" spans="1:30" x14ac:dyDescent="0.35">
      <c r="B16" s="98"/>
      <c r="C16" s="98"/>
      <c r="D16" s="98"/>
      <c r="E16" s="98"/>
      <c r="F16" s="99"/>
      <c r="G16" s="99"/>
      <c r="H16" s="99"/>
    </row>
    <row r="17" spans="1:56" ht="21" x14ac:dyDescent="0.5">
      <c r="B17" s="6" t="s">
        <v>105</v>
      </c>
      <c r="C17" s="6"/>
      <c r="D17" s="6"/>
      <c r="E17" s="6"/>
      <c r="F17" s="6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</row>
    <row r="19" spans="1:56" x14ac:dyDescent="0.35">
      <c r="B19" s="126" t="str">
        <f>'Chart tables'!B10</f>
        <v>Scenario 1</v>
      </c>
      <c r="C19" s="126" t="str">
        <f>$I$6</f>
        <v>Central</v>
      </c>
      <c r="D19" s="126"/>
      <c r="E19" s="126"/>
      <c r="F19" s="126"/>
      <c r="G19" s="126"/>
      <c r="H19" s="126"/>
      <c r="I19" s="126"/>
      <c r="J19" s="138"/>
      <c r="K19" s="126" t="str">
        <f>'Chart tables'!B11</f>
        <v>Scenario 2</v>
      </c>
      <c r="L19" s="126" t="str">
        <f>$J$6</f>
        <v>Step change</v>
      </c>
      <c r="M19" s="126"/>
      <c r="N19" s="126"/>
      <c r="O19" s="126"/>
      <c r="P19" s="126"/>
      <c r="Q19" s="126"/>
      <c r="R19" s="126"/>
      <c r="S19" s="138"/>
      <c r="T19" s="126" t="str">
        <f>'Chart tables'!B12</f>
        <v>Scenario 3</v>
      </c>
      <c r="U19" s="126" t="str">
        <f>$K$6</f>
        <v>Slow change</v>
      </c>
      <c r="V19" s="126"/>
      <c r="W19" s="126"/>
      <c r="X19" s="126"/>
      <c r="Y19" s="126"/>
      <c r="Z19" s="126"/>
      <c r="AA19" s="126"/>
      <c r="AB19" s="138"/>
      <c r="AC19" s="126" t="str">
        <f>'Chart tables'!B13</f>
        <v>Scenario 4</v>
      </c>
      <c r="AD19" s="126" t="str">
        <f>$L$6</f>
        <v>Fast change</v>
      </c>
      <c r="AE19" s="126"/>
      <c r="AF19" s="126"/>
      <c r="AG19" s="126"/>
      <c r="AH19" s="126"/>
      <c r="AI19" s="126"/>
      <c r="AJ19" s="126"/>
      <c r="AK19" s="124"/>
      <c r="AL19" s="126" t="s">
        <v>102</v>
      </c>
      <c r="AM19" s="126"/>
      <c r="AN19" s="126"/>
      <c r="AO19" s="126"/>
      <c r="AP19" s="126"/>
      <c r="AQ19" s="126"/>
      <c r="AR19" s="126"/>
      <c r="AS19" s="126"/>
      <c r="BC19" s="124"/>
      <c r="BD19" s="124"/>
    </row>
    <row r="20" spans="1:56" s="95" customFormat="1" x14ac:dyDescent="0.35">
      <c r="A20" s="214"/>
      <c r="B20" s="138"/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7"/>
      <c r="AL20" s="138"/>
      <c r="AM20" s="138"/>
      <c r="AN20" s="138"/>
      <c r="AO20" s="138"/>
      <c r="AP20" s="138"/>
      <c r="AQ20" s="138"/>
      <c r="AR20" s="138"/>
      <c r="AS20" s="138"/>
      <c r="BC20" s="137"/>
      <c r="BD20" s="137"/>
    </row>
    <row r="21" spans="1:56" s="95" customFormat="1" x14ac:dyDescent="0.35">
      <c r="A21" s="214"/>
      <c r="B21" s="127" t="str">
        <f>'[1]Chart tables'!B6</f>
        <v>Summary of the estimated net market benefits</v>
      </c>
      <c r="C21" s="127"/>
      <c r="D21" s="127"/>
      <c r="E21" s="127"/>
      <c r="F21" s="127"/>
      <c r="G21" s="127"/>
      <c r="H21" s="127"/>
      <c r="I21" s="127"/>
      <c r="J21" s="138"/>
      <c r="K21" s="127" t="s">
        <v>88</v>
      </c>
      <c r="L21" s="127"/>
      <c r="M21" s="127"/>
      <c r="N21" s="127"/>
      <c r="O21" s="127"/>
      <c r="P21" s="127"/>
      <c r="Q21" s="127"/>
      <c r="R21" s="127"/>
      <c r="S21" s="138"/>
      <c r="T21" s="127" t="s">
        <v>88</v>
      </c>
      <c r="U21" s="127"/>
      <c r="V21" s="127"/>
      <c r="W21" s="127"/>
      <c r="X21" s="127"/>
      <c r="Y21" s="127"/>
      <c r="Z21" s="127"/>
      <c r="AA21" s="127"/>
      <c r="AB21" s="138"/>
      <c r="AC21" s="127" t="s">
        <v>88</v>
      </c>
      <c r="AD21" s="127"/>
      <c r="AE21" s="127"/>
      <c r="AF21" s="127"/>
      <c r="AG21" s="127"/>
      <c r="AH21" s="127"/>
      <c r="AI21" s="127"/>
      <c r="AJ21" s="127"/>
      <c r="AK21" s="137"/>
      <c r="AL21" s="127" t="s">
        <v>88</v>
      </c>
      <c r="AM21" s="127"/>
      <c r="AN21" s="127"/>
      <c r="AO21" s="127"/>
      <c r="AP21" s="127"/>
      <c r="AQ21" s="127"/>
      <c r="AR21" s="127"/>
      <c r="AS21" s="127"/>
      <c r="BC21" s="137"/>
      <c r="BD21" s="137"/>
    </row>
    <row r="22" spans="1:56" x14ac:dyDescent="0.35"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BC22" s="124"/>
      <c r="BD22" s="124"/>
    </row>
    <row r="23" spans="1:56" x14ac:dyDescent="0.35"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BC23" s="124"/>
      <c r="BD23" s="124"/>
    </row>
    <row r="24" spans="1:56" x14ac:dyDescent="0.35"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BC24" s="124"/>
      <c r="BD24" s="124"/>
    </row>
    <row r="25" spans="1:56" x14ac:dyDescent="0.35"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BC25" s="124"/>
      <c r="BD25" s="124"/>
    </row>
    <row r="26" spans="1:56" x14ac:dyDescent="0.35"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BC26" s="124"/>
      <c r="BD26" s="124"/>
    </row>
    <row r="27" spans="1:56" x14ac:dyDescent="0.35"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BC27" s="124"/>
      <c r="BD27" s="124"/>
    </row>
    <row r="28" spans="1:56" x14ac:dyDescent="0.35"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BC28" s="124"/>
      <c r="BD28" s="124"/>
    </row>
    <row r="29" spans="1:56" x14ac:dyDescent="0.35"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BC29" s="124"/>
      <c r="BD29" s="124"/>
    </row>
    <row r="30" spans="1:56" x14ac:dyDescent="0.35"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BC30" s="124"/>
      <c r="BD30" s="124"/>
    </row>
    <row r="31" spans="1:56" x14ac:dyDescent="0.35"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BC31" s="124"/>
      <c r="BD31" s="124"/>
    </row>
    <row r="32" spans="1:56" x14ac:dyDescent="0.35"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BC32" s="124"/>
      <c r="BD32" s="124"/>
    </row>
    <row r="33" spans="2:56" x14ac:dyDescent="0.35"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BC33" s="124"/>
      <c r="BD33" s="124"/>
    </row>
    <row r="34" spans="2:56" x14ac:dyDescent="0.35"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BC34" s="124"/>
      <c r="BD34" s="124"/>
    </row>
    <row r="35" spans="2:56" x14ac:dyDescent="0.35"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BC35" s="124"/>
      <c r="BD35" s="124"/>
    </row>
    <row r="36" spans="2:56" x14ac:dyDescent="0.35"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BC36" s="124"/>
      <c r="BD36" s="124"/>
    </row>
    <row r="37" spans="2:56" x14ac:dyDescent="0.35"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BC37" s="124"/>
      <c r="BD37" s="124"/>
    </row>
    <row r="38" spans="2:56" x14ac:dyDescent="0.35"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BC38" s="124"/>
      <c r="BD38" s="124"/>
    </row>
    <row r="39" spans="2:56" x14ac:dyDescent="0.35">
      <c r="B39" s="126" t="str">
        <f>B19</f>
        <v>Scenario 1</v>
      </c>
      <c r="C39" s="126" t="str">
        <f>$I$6</f>
        <v>Central</v>
      </c>
      <c r="D39" s="126"/>
      <c r="E39" s="126"/>
      <c r="F39" s="126"/>
      <c r="G39" s="126"/>
      <c r="H39" s="126"/>
      <c r="I39" s="126"/>
      <c r="J39" s="138"/>
      <c r="K39" s="126" t="str">
        <f>K19</f>
        <v>Scenario 2</v>
      </c>
      <c r="L39" s="126" t="str">
        <f>$J$6</f>
        <v>Step change</v>
      </c>
      <c r="M39" s="126"/>
      <c r="N39" s="126"/>
      <c r="O39" s="126"/>
      <c r="P39" s="126"/>
      <c r="Q39" s="126"/>
      <c r="R39" s="126"/>
      <c r="S39" s="136"/>
      <c r="T39" s="126" t="str">
        <f>T19</f>
        <v>Scenario 3</v>
      </c>
      <c r="U39" s="126" t="str">
        <f>$K$6</f>
        <v>Slow change</v>
      </c>
      <c r="V39" s="126"/>
      <c r="W39" s="126"/>
      <c r="X39" s="126"/>
      <c r="Y39" s="126"/>
      <c r="Z39" s="126"/>
      <c r="AA39" s="126"/>
      <c r="AB39" s="136"/>
      <c r="AC39" s="126" t="str">
        <f>AC19</f>
        <v>Scenario 4</v>
      </c>
      <c r="AD39" s="126" t="str">
        <f>$L$6</f>
        <v>Fast change</v>
      </c>
      <c r="AE39" s="126"/>
      <c r="AF39" s="126"/>
      <c r="AG39" s="126"/>
      <c r="AH39" s="126"/>
      <c r="AI39" s="126"/>
      <c r="AJ39" s="126"/>
      <c r="AK39" s="124"/>
      <c r="AL39" s="127" t="s">
        <v>103</v>
      </c>
      <c r="AM39" s="127"/>
      <c r="AN39" s="127"/>
      <c r="AO39" s="127"/>
      <c r="AP39" s="127"/>
      <c r="AQ39" s="127"/>
      <c r="AR39" s="127"/>
      <c r="AS39" s="127"/>
      <c r="AT39" s="124"/>
      <c r="BC39" s="124"/>
      <c r="BD39" s="124"/>
    </row>
    <row r="40" spans="2:56" x14ac:dyDescent="0.35"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37"/>
      <c r="AL40" s="137"/>
      <c r="AM40" s="137"/>
      <c r="AN40" s="137"/>
      <c r="AO40" s="137"/>
      <c r="AP40" s="137"/>
      <c r="AQ40" s="137"/>
      <c r="AR40" s="137"/>
      <c r="AS40" s="137"/>
      <c r="AT40" s="124"/>
      <c r="BC40" s="124"/>
      <c r="BD40" s="124"/>
    </row>
    <row r="41" spans="2:56" x14ac:dyDescent="0.35"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37"/>
      <c r="AL41" s="137"/>
      <c r="AM41" s="137"/>
      <c r="AN41" s="137"/>
      <c r="AO41" s="137"/>
      <c r="AP41" s="137"/>
      <c r="AQ41" s="137"/>
      <c r="AR41" s="137"/>
      <c r="AS41" s="137"/>
      <c r="AT41" s="124"/>
      <c r="BC41" s="124"/>
      <c r="BD41" s="124"/>
    </row>
    <row r="42" spans="2:56" x14ac:dyDescent="0.35"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37"/>
      <c r="AL42" s="137"/>
      <c r="AM42" s="137"/>
      <c r="AN42" s="137"/>
      <c r="AO42" s="137"/>
      <c r="AP42" s="137"/>
      <c r="AQ42" s="137"/>
      <c r="AR42" s="137"/>
      <c r="AS42" s="137"/>
      <c r="AT42" s="124"/>
      <c r="BC42" s="124"/>
      <c r="BD42" s="124"/>
    </row>
    <row r="43" spans="2:56" x14ac:dyDescent="0.35"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37"/>
      <c r="AL43" s="137"/>
      <c r="AM43" s="137"/>
      <c r="AN43" s="137"/>
      <c r="AO43" s="137"/>
      <c r="AP43" s="137"/>
      <c r="AQ43" s="137"/>
      <c r="AR43" s="137"/>
      <c r="AS43" s="137"/>
      <c r="AT43" s="124"/>
      <c r="BC43" s="124"/>
      <c r="BD43" s="124"/>
    </row>
    <row r="44" spans="2:56" x14ac:dyDescent="0.35"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37"/>
      <c r="AL44" s="137"/>
      <c r="AM44" s="137"/>
      <c r="AN44" s="137"/>
      <c r="AO44" s="137"/>
      <c r="AP44" s="137"/>
      <c r="AQ44" s="137"/>
      <c r="AR44" s="137"/>
      <c r="AS44" s="137"/>
      <c r="AT44" s="124"/>
      <c r="BC44" s="124"/>
      <c r="BD44" s="124"/>
    </row>
    <row r="45" spans="2:56" x14ac:dyDescent="0.35"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37"/>
      <c r="AL45" s="137"/>
      <c r="AM45" s="137"/>
      <c r="AN45" s="137"/>
      <c r="AO45" s="137"/>
      <c r="AP45" s="137"/>
      <c r="AQ45" s="137"/>
      <c r="AR45" s="137"/>
      <c r="AS45" s="137"/>
      <c r="AT45" s="124"/>
      <c r="BC45" s="124"/>
      <c r="BD45" s="124"/>
    </row>
    <row r="46" spans="2:56" x14ac:dyDescent="0.35"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37"/>
      <c r="AL46" s="137"/>
      <c r="AM46" s="137"/>
      <c r="AN46" s="137"/>
      <c r="AO46" s="137"/>
      <c r="AP46" s="137"/>
      <c r="AQ46" s="137"/>
      <c r="AR46" s="137"/>
      <c r="AS46" s="137"/>
      <c r="AT46" s="124"/>
      <c r="BC46" s="124"/>
      <c r="BD46" s="124"/>
    </row>
    <row r="47" spans="2:56" x14ac:dyDescent="0.35"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37"/>
      <c r="AL47" s="137"/>
      <c r="AM47" s="137"/>
      <c r="AN47" s="137"/>
      <c r="AO47" s="137"/>
      <c r="AP47" s="137"/>
      <c r="AQ47" s="137"/>
      <c r="AR47" s="137"/>
      <c r="AS47" s="137"/>
      <c r="AT47" s="124"/>
      <c r="BC47" s="124"/>
      <c r="BD47" s="124"/>
    </row>
    <row r="48" spans="2:56" x14ac:dyDescent="0.35"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37"/>
      <c r="AL48" s="137"/>
      <c r="AM48" s="137"/>
      <c r="AN48" s="137"/>
      <c r="AO48" s="137"/>
      <c r="AP48" s="137"/>
      <c r="AQ48" s="137"/>
      <c r="AR48" s="137"/>
      <c r="AS48" s="137"/>
      <c r="AT48" s="124"/>
      <c r="BC48" s="124"/>
      <c r="BD48" s="124"/>
    </row>
    <row r="49" spans="2:56" x14ac:dyDescent="0.35"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37"/>
      <c r="AL49" s="137"/>
      <c r="AM49" s="137"/>
      <c r="AN49" s="137"/>
      <c r="AO49" s="137"/>
      <c r="AP49" s="137"/>
      <c r="AQ49" s="137"/>
      <c r="AR49" s="137"/>
      <c r="AS49" s="137"/>
      <c r="AT49" s="124"/>
      <c r="BC49" s="124"/>
      <c r="BD49" s="124"/>
    </row>
    <row r="50" spans="2:56" x14ac:dyDescent="0.35"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37"/>
      <c r="AL50" s="137"/>
      <c r="AM50" s="137"/>
      <c r="AN50" s="137"/>
      <c r="AO50" s="137"/>
      <c r="AP50" s="137"/>
      <c r="AQ50" s="137"/>
      <c r="AR50" s="137"/>
      <c r="AS50" s="137"/>
      <c r="AT50" s="124"/>
      <c r="BC50" s="124"/>
      <c r="BD50" s="124"/>
    </row>
    <row r="51" spans="2:56" x14ac:dyDescent="0.35"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37"/>
      <c r="AL51" s="137"/>
      <c r="AM51" s="137"/>
      <c r="AN51" s="137"/>
      <c r="AO51" s="137"/>
      <c r="AP51" s="137"/>
      <c r="AQ51" s="137"/>
      <c r="AR51" s="137"/>
      <c r="AS51" s="137"/>
      <c r="AT51" s="124"/>
      <c r="BC51" s="124"/>
      <c r="BD51" s="124"/>
    </row>
    <row r="52" spans="2:56" x14ac:dyDescent="0.35"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37"/>
      <c r="AL52" s="137"/>
      <c r="AM52" s="137"/>
      <c r="AN52" s="137"/>
      <c r="AO52" s="137"/>
      <c r="AP52" s="137"/>
      <c r="AQ52" s="137"/>
      <c r="AR52" s="137"/>
      <c r="AS52" s="137"/>
      <c r="AT52" s="124"/>
      <c r="BC52" s="124"/>
      <c r="BD52" s="124"/>
    </row>
    <row r="53" spans="2:56" x14ac:dyDescent="0.35"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37"/>
      <c r="AL53" s="137"/>
      <c r="AM53" s="137"/>
      <c r="AN53" s="137"/>
      <c r="AO53" s="137"/>
      <c r="AP53" s="137"/>
      <c r="AQ53" s="137"/>
      <c r="AR53" s="137"/>
      <c r="AS53" s="137"/>
      <c r="AT53" s="124"/>
      <c r="BC53" s="124"/>
      <c r="BD53" s="124"/>
    </row>
    <row r="54" spans="2:56" x14ac:dyDescent="0.35"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37"/>
      <c r="AL54" s="137"/>
      <c r="AM54" s="137"/>
      <c r="AN54" s="137"/>
      <c r="AO54" s="137"/>
      <c r="AP54" s="137"/>
      <c r="AQ54" s="137"/>
      <c r="AR54" s="137"/>
      <c r="AS54" s="137"/>
      <c r="AT54" s="124"/>
      <c r="BC54" s="124"/>
      <c r="BD54" s="124"/>
    </row>
    <row r="55" spans="2:56" x14ac:dyDescent="0.35"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37"/>
      <c r="AL55" s="137"/>
      <c r="AM55" s="137"/>
      <c r="AN55" s="137"/>
      <c r="AO55" s="137"/>
      <c r="AP55" s="137"/>
      <c r="AQ55" s="137"/>
      <c r="AR55" s="137"/>
      <c r="AS55" s="137"/>
      <c r="AT55" s="124"/>
      <c r="BC55" s="124"/>
      <c r="BD55" s="124"/>
    </row>
    <row r="56" spans="2:56" x14ac:dyDescent="0.35"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37"/>
      <c r="AL56" s="137"/>
      <c r="AM56" s="137"/>
      <c r="AN56" s="137"/>
      <c r="AO56" s="137"/>
      <c r="AP56" s="137"/>
      <c r="AQ56" s="137"/>
      <c r="AR56" s="137"/>
      <c r="AS56" s="137"/>
      <c r="AT56" s="124"/>
      <c r="BC56" s="124"/>
      <c r="BD56" s="124"/>
    </row>
    <row r="57" spans="2:56" x14ac:dyDescent="0.35">
      <c r="B57" s="126" t="str">
        <f>B19</f>
        <v>Scenario 1</v>
      </c>
      <c r="C57" s="126" t="str">
        <f>$I$6</f>
        <v>Central</v>
      </c>
      <c r="D57" s="184" t="str">
        <f>'Chart tables'!$P$14</f>
        <v>Option 3C</v>
      </c>
      <c r="E57" s="147" t="s">
        <v>99</v>
      </c>
      <c r="F57" s="147"/>
      <c r="G57" s="147"/>
      <c r="H57" s="147"/>
      <c r="I57" s="147"/>
      <c r="J57" s="175"/>
      <c r="K57" s="126" t="str">
        <f>K19</f>
        <v>Scenario 2</v>
      </c>
      <c r="L57" s="126" t="str">
        <f>$J$6</f>
        <v>Step change</v>
      </c>
      <c r="M57" s="184" t="str">
        <f>'Chart tables'!$P$14</f>
        <v>Option 3C</v>
      </c>
      <c r="N57" s="147" t="s">
        <v>99</v>
      </c>
      <c r="O57" s="147"/>
      <c r="P57" s="147"/>
      <c r="Q57" s="147"/>
      <c r="R57" s="147"/>
      <c r="S57" s="176"/>
      <c r="T57" s="126" t="str">
        <f>T19</f>
        <v>Scenario 3</v>
      </c>
      <c r="U57" s="126" t="str">
        <f>$K$6</f>
        <v>Slow change</v>
      </c>
      <c r="V57" s="184" t="str">
        <f>'Chart tables'!$P$14</f>
        <v>Option 3C</v>
      </c>
      <c r="W57" s="147" t="s">
        <v>99</v>
      </c>
      <c r="X57" s="147"/>
      <c r="Y57" s="147"/>
      <c r="Z57" s="147"/>
      <c r="AA57" s="147"/>
      <c r="AB57" s="176"/>
      <c r="AC57" s="126" t="str">
        <f>AC19</f>
        <v>Scenario 4</v>
      </c>
      <c r="AD57" s="126" t="str">
        <f>$L$6</f>
        <v>Fast change</v>
      </c>
      <c r="AE57" s="184" t="str">
        <f>'Chart tables'!$P$14</f>
        <v>Option 3C</v>
      </c>
      <c r="AF57" s="147" t="s">
        <v>99</v>
      </c>
      <c r="AG57" s="147"/>
      <c r="AH57" s="147"/>
      <c r="AI57" s="147"/>
      <c r="AJ57" s="147"/>
      <c r="AK57" s="137"/>
      <c r="AL57" s="137"/>
      <c r="AM57" s="137"/>
      <c r="AN57" s="137"/>
      <c r="AO57" s="137"/>
      <c r="AP57" s="137"/>
      <c r="AQ57" s="137"/>
      <c r="AR57" s="137"/>
      <c r="AS57" s="137"/>
      <c r="AT57" s="124"/>
      <c r="BC57" s="124"/>
      <c r="BD57" s="124"/>
    </row>
    <row r="58" spans="2:56" x14ac:dyDescent="0.35"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37"/>
      <c r="AL58" s="137"/>
      <c r="AM58" s="137"/>
      <c r="AN58" s="137"/>
      <c r="AO58" s="137"/>
      <c r="AP58" s="137"/>
      <c r="AQ58" s="137"/>
      <c r="AR58" s="137"/>
      <c r="AS58" s="137"/>
      <c r="AT58" s="124"/>
      <c r="BC58" s="124"/>
      <c r="BD58" s="124"/>
    </row>
    <row r="59" spans="2:56" x14ac:dyDescent="0.35"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37"/>
      <c r="AL59" s="137"/>
      <c r="AM59" s="137"/>
      <c r="AN59" s="137"/>
      <c r="AO59" s="137"/>
      <c r="AP59" s="137"/>
      <c r="AQ59" s="137"/>
      <c r="AR59" s="137"/>
      <c r="AS59" s="137"/>
      <c r="AT59" s="124"/>
      <c r="BC59" s="124"/>
      <c r="BD59" s="124"/>
    </row>
    <row r="60" spans="2:56" x14ac:dyDescent="0.35"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37"/>
      <c r="AL60" s="137"/>
      <c r="AM60" s="137"/>
      <c r="AN60" s="137"/>
      <c r="AO60" s="137"/>
      <c r="AP60" s="137"/>
      <c r="AQ60" s="137"/>
      <c r="AR60" s="137"/>
      <c r="AS60" s="137"/>
      <c r="AT60" s="124"/>
      <c r="BC60" s="124"/>
      <c r="BD60" s="124"/>
    </row>
    <row r="61" spans="2:56" x14ac:dyDescent="0.35"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37"/>
      <c r="AL61" s="137"/>
      <c r="AM61" s="137"/>
      <c r="AN61" s="137"/>
      <c r="AO61" s="137"/>
      <c r="AP61" s="137"/>
      <c r="AQ61" s="137"/>
      <c r="AR61" s="137"/>
      <c r="AS61" s="137"/>
      <c r="AT61" s="124"/>
      <c r="BC61" s="124"/>
      <c r="BD61" s="124"/>
    </row>
    <row r="62" spans="2:56" x14ac:dyDescent="0.35"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37"/>
      <c r="AL62" s="137"/>
      <c r="AM62" s="137"/>
      <c r="AN62" s="137"/>
      <c r="AO62" s="137"/>
      <c r="AP62" s="137"/>
      <c r="AQ62" s="137"/>
      <c r="AR62" s="137"/>
      <c r="AS62" s="137"/>
      <c r="AT62" s="124"/>
      <c r="BC62" s="124"/>
      <c r="BD62" s="124"/>
    </row>
    <row r="63" spans="2:56" x14ac:dyDescent="0.35"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37"/>
      <c r="AL63" s="137"/>
      <c r="AM63" s="137"/>
      <c r="AN63" s="137"/>
      <c r="AO63" s="137"/>
      <c r="AP63" s="137"/>
      <c r="AQ63" s="137"/>
      <c r="AR63" s="137"/>
      <c r="AS63" s="137"/>
      <c r="AT63" s="124"/>
      <c r="BC63" s="124"/>
      <c r="BD63" s="124"/>
    </row>
    <row r="64" spans="2:56" x14ac:dyDescent="0.35"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37"/>
      <c r="AL64" s="137"/>
      <c r="AM64" s="137"/>
      <c r="AN64" s="137"/>
      <c r="AO64" s="137"/>
      <c r="AP64" s="137"/>
      <c r="AQ64" s="137"/>
      <c r="AR64" s="137"/>
      <c r="AS64" s="137"/>
      <c r="AT64" s="124"/>
      <c r="BC64" s="124"/>
      <c r="BD64" s="124"/>
    </row>
    <row r="65" spans="2:56" x14ac:dyDescent="0.35"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37"/>
      <c r="AL65" s="137"/>
      <c r="AM65" s="137"/>
      <c r="AN65" s="137"/>
      <c r="AO65" s="137"/>
      <c r="AP65" s="137"/>
      <c r="AQ65" s="137"/>
      <c r="AR65" s="137"/>
      <c r="AS65" s="137"/>
      <c r="AT65" s="124"/>
      <c r="BC65" s="124"/>
      <c r="BD65" s="124"/>
    </row>
    <row r="66" spans="2:56" x14ac:dyDescent="0.35"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37"/>
      <c r="AL66" s="137"/>
      <c r="AM66" s="137"/>
      <c r="AN66" s="137"/>
      <c r="AO66" s="137"/>
      <c r="AP66" s="137"/>
      <c r="AQ66" s="137"/>
      <c r="AR66" s="137"/>
      <c r="AS66" s="137"/>
      <c r="AT66" s="124"/>
      <c r="BC66" s="124"/>
      <c r="BD66" s="124"/>
    </row>
    <row r="67" spans="2:56" x14ac:dyDescent="0.35"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37"/>
      <c r="AL67" s="137"/>
      <c r="AM67" s="137"/>
      <c r="AN67" s="137"/>
      <c r="AO67" s="137"/>
      <c r="AP67" s="137"/>
      <c r="AQ67" s="137"/>
      <c r="AR67" s="137"/>
      <c r="AS67" s="137"/>
      <c r="AT67" s="124"/>
      <c r="BC67" s="124"/>
      <c r="BD67" s="124"/>
    </row>
    <row r="68" spans="2:56" x14ac:dyDescent="0.35"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37"/>
      <c r="AL68" s="137"/>
      <c r="AM68" s="137"/>
      <c r="AN68" s="137"/>
      <c r="AO68" s="137"/>
      <c r="AP68" s="137"/>
      <c r="AQ68" s="137"/>
      <c r="AR68" s="137"/>
      <c r="AS68" s="137"/>
      <c r="AT68" s="124"/>
      <c r="BC68" s="124"/>
      <c r="BD68" s="124"/>
    </row>
    <row r="69" spans="2:56" x14ac:dyDescent="0.35"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37"/>
      <c r="AL69" s="137"/>
      <c r="AM69" s="137"/>
      <c r="AN69" s="137"/>
      <c r="AO69" s="137"/>
      <c r="AP69" s="137"/>
      <c r="AQ69" s="137"/>
      <c r="AR69" s="137"/>
      <c r="AS69" s="137"/>
      <c r="AT69" s="124"/>
      <c r="BC69" s="124"/>
      <c r="BD69" s="124"/>
    </row>
    <row r="70" spans="2:56" x14ac:dyDescent="0.35"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37"/>
      <c r="AL70" s="137"/>
      <c r="AM70" s="137"/>
      <c r="AN70" s="137"/>
      <c r="AO70" s="137"/>
      <c r="AP70" s="137"/>
      <c r="AQ70" s="137"/>
      <c r="AR70" s="137"/>
      <c r="AS70" s="137"/>
      <c r="AT70" s="124"/>
      <c r="BC70" s="124"/>
      <c r="BD70" s="124"/>
    </row>
    <row r="71" spans="2:56" x14ac:dyDescent="0.35"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37"/>
      <c r="AL71" s="137"/>
      <c r="AM71" s="137"/>
      <c r="AN71" s="137"/>
      <c r="AO71" s="137"/>
      <c r="AP71" s="137"/>
      <c r="AQ71" s="137"/>
      <c r="AR71" s="137"/>
      <c r="AS71" s="137"/>
      <c r="AT71" s="124"/>
      <c r="BC71" s="124"/>
      <c r="BD71" s="124"/>
    </row>
    <row r="72" spans="2:56" x14ac:dyDescent="0.35"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37"/>
      <c r="AL72" s="137"/>
      <c r="AM72" s="137"/>
      <c r="AN72" s="137"/>
      <c r="AO72" s="137"/>
      <c r="AP72" s="137"/>
      <c r="AQ72" s="137"/>
      <c r="AR72" s="137"/>
      <c r="AS72" s="137"/>
      <c r="AT72" s="124"/>
      <c r="BC72" s="124"/>
      <c r="BD72" s="124"/>
    </row>
    <row r="73" spans="2:56" x14ac:dyDescent="0.35">
      <c r="AK73" s="137"/>
      <c r="AL73" s="137"/>
      <c r="AM73" s="137"/>
      <c r="AN73" s="137"/>
      <c r="AO73" s="137"/>
      <c r="AP73" s="137"/>
      <c r="AQ73" s="137"/>
      <c r="AR73" s="137"/>
      <c r="AS73" s="137"/>
      <c r="AT73" s="124"/>
      <c r="BC73" s="124"/>
      <c r="BD73" s="124"/>
    </row>
    <row r="74" spans="2:56" x14ac:dyDescent="0.35">
      <c r="AK74" s="137"/>
      <c r="AL74" s="137"/>
      <c r="AM74" s="137"/>
      <c r="AN74" s="137"/>
      <c r="AO74" s="137"/>
      <c r="AP74" s="137"/>
      <c r="AQ74" s="137"/>
      <c r="AR74" s="137"/>
      <c r="AS74" s="137"/>
      <c r="AT74" s="124"/>
      <c r="BC74" s="124"/>
      <c r="BD74" s="124"/>
    </row>
    <row r="75" spans="2:56" x14ac:dyDescent="0.35">
      <c r="AK75" s="137"/>
      <c r="AL75" s="137"/>
      <c r="AM75" s="137"/>
      <c r="AN75" s="137"/>
      <c r="AO75" s="137"/>
      <c r="AP75" s="137"/>
      <c r="AQ75" s="137"/>
      <c r="AR75" s="137"/>
      <c r="AS75" s="137"/>
      <c r="AT75" s="124"/>
      <c r="BC75" s="124"/>
      <c r="BD75" s="124"/>
    </row>
    <row r="76" spans="2:56" x14ac:dyDescent="0.35">
      <c r="AK76" s="137"/>
      <c r="AL76" s="137"/>
      <c r="AM76" s="137"/>
      <c r="AN76" s="137"/>
      <c r="AO76" s="137"/>
      <c r="AP76" s="137"/>
      <c r="AQ76" s="137"/>
      <c r="AR76" s="137"/>
      <c r="AS76" s="137"/>
      <c r="AT76" s="124"/>
      <c r="BC76" s="124"/>
      <c r="BD76" s="124"/>
    </row>
    <row r="77" spans="2:56" x14ac:dyDescent="0.35">
      <c r="AK77" s="137"/>
      <c r="AL77" s="137"/>
      <c r="AM77" s="137"/>
      <c r="AN77" s="137"/>
      <c r="AO77" s="137"/>
      <c r="AP77" s="137"/>
      <c r="AQ77" s="137"/>
      <c r="AR77" s="137"/>
      <c r="AS77" s="137"/>
      <c r="AT77" s="124"/>
      <c r="BC77" s="124"/>
      <c r="BD77" s="124"/>
    </row>
    <row r="78" spans="2:56" x14ac:dyDescent="0.35">
      <c r="AK78" s="137"/>
      <c r="AL78" s="137"/>
      <c r="AM78" s="137"/>
      <c r="AN78" s="137"/>
      <c r="AO78" s="137"/>
      <c r="AP78" s="137"/>
      <c r="AQ78" s="137"/>
      <c r="AR78" s="137"/>
      <c r="AS78" s="137"/>
      <c r="AT78" s="124"/>
      <c r="BC78" s="124"/>
      <c r="BD78" s="124"/>
    </row>
    <row r="79" spans="2:56" x14ac:dyDescent="0.35">
      <c r="AK79" s="137"/>
      <c r="AL79" s="137"/>
      <c r="AM79" s="137"/>
      <c r="AN79" s="137"/>
      <c r="AO79" s="137"/>
      <c r="AP79" s="137"/>
      <c r="AQ79" s="137"/>
      <c r="AR79" s="137"/>
      <c r="AS79" s="137"/>
      <c r="AT79" s="124"/>
      <c r="BC79" s="124"/>
      <c r="BD79" s="124"/>
    </row>
    <row r="80" spans="2:56" x14ac:dyDescent="0.35"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37"/>
      <c r="AL80" s="137"/>
      <c r="AM80" s="137"/>
      <c r="AN80" s="137"/>
      <c r="AO80" s="137"/>
      <c r="AP80" s="137"/>
      <c r="AQ80" s="137"/>
      <c r="AR80" s="137"/>
      <c r="AS80" s="137"/>
      <c r="AT80" s="124"/>
      <c r="BC80" s="124"/>
      <c r="BD80" s="124"/>
    </row>
    <row r="81" spans="2:56" x14ac:dyDescent="0.35">
      <c r="B81" s="124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37"/>
      <c r="AL81" s="137"/>
      <c r="AM81" s="137"/>
      <c r="AN81" s="137"/>
      <c r="AO81" s="137"/>
      <c r="AP81" s="137"/>
      <c r="AQ81" s="137"/>
      <c r="AR81" s="137"/>
      <c r="AS81" s="137"/>
      <c r="AT81" s="124"/>
      <c r="BC81" s="124"/>
      <c r="BD81" s="124"/>
    </row>
    <row r="82" spans="2:56" x14ac:dyDescent="0.35"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37"/>
      <c r="AL82" s="137"/>
      <c r="AM82" s="137"/>
      <c r="AN82" s="137"/>
      <c r="AO82" s="137"/>
      <c r="AP82" s="137"/>
      <c r="AQ82" s="137"/>
      <c r="AR82" s="137"/>
      <c r="AS82" s="137"/>
      <c r="AT82" s="124"/>
      <c r="BC82" s="124"/>
      <c r="BD82" s="124"/>
    </row>
    <row r="83" spans="2:56" x14ac:dyDescent="0.35">
      <c r="B83" s="124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37"/>
      <c r="AL83" s="137"/>
      <c r="AM83" s="137"/>
      <c r="AN83" s="137"/>
      <c r="AO83" s="137"/>
      <c r="AP83" s="137"/>
      <c r="AQ83" s="137"/>
      <c r="AR83" s="137"/>
      <c r="AS83" s="137"/>
      <c r="AT83" s="124"/>
      <c r="BC83" s="124"/>
      <c r="BD83" s="124"/>
    </row>
    <row r="84" spans="2:56" x14ac:dyDescent="0.35"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37"/>
      <c r="AL84" s="137"/>
      <c r="AM84" s="137"/>
      <c r="AN84" s="137"/>
      <c r="AO84" s="137"/>
      <c r="AP84" s="137"/>
      <c r="AQ84" s="137"/>
      <c r="AR84" s="137"/>
      <c r="AS84" s="137"/>
      <c r="AT84" s="124"/>
      <c r="BC84" s="124"/>
      <c r="BD84" s="124"/>
    </row>
    <row r="85" spans="2:56" x14ac:dyDescent="0.35"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37"/>
      <c r="AL85" s="137"/>
      <c r="AM85" s="137"/>
      <c r="AN85" s="137"/>
      <c r="AO85" s="137"/>
      <c r="AP85" s="137"/>
      <c r="AQ85" s="137"/>
      <c r="AR85" s="137"/>
      <c r="AS85" s="137"/>
      <c r="AT85" s="124"/>
      <c r="BC85" s="124"/>
      <c r="BD85" s="124"/>
    </row>
    <row r="86" spans="2:56" x14ac:dyDescent="0.35">
      <c r="B86" s="125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37"/>
      <c r="AL86" s="137"/>
      <c r="AM86" s="137"/>
      <c r="AN86" s="137"/>
      <c r="AO86" s="137"/>
      <c r="AP86" s="137"/>
      <c r="AQ86" s="137"/>
      <c r="AR86" s="137"/>
      <c r="AS86" s="137"/>
      <c r="AT86" s="124"/>
      <c r="BC86" s="124"/>
      <c r="BD86" s="124"/>
    </row>
    <row r="87" spans="2:56" x14ac:dyDescent="0.35"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37"/>
      <c r="AL87" s="137"/>
      <c r="AM87" s="137"/>
      <c r="AN87" s="137"/>
      <c r="AO87" s="137"/>
      <c r="AP87" s="137"/>
      <c r="AQ87" s="137"/>
      <c r="AR87" s="137"/>
      <c r="AS87" s="137"/>
      <c r="AT87" s="124"/>
      <c r="BC87" s="124"/>
      <c r="BD87" s="124"/>
    </row>
    <row r="88" spans="2:56" x14ac:dyDescent="0.35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37"/>
      <c r="AL88" s="137"/>
      <c r="AM88" s="137"/>
      <c r="AN88" s="137"/>
      <c r="AO88" s="137"/>
      <c r="AP88" s="137"/>
      <c r="AQ88" s="137"/>
      <c r="AR88" s="137"/>
      <c r="AS88" s="137"/>
      <c r="AT88" s="124"/>
      <c r="BC88" s="124"/>
      <c r="BD88" s="124"/>
    </row>
    <row r="89" spans="2:56" x14ac:dyDescent="0.35"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37"/>
      <c r="AL89" s="137"/>
      <c r="AM89" s="137"/>
      <c r="AN89" s="137"/>
      <c r="AO89" s="137"/>
      <c r="AP89" s="137"/>
      <c r="AQ89" s="137"/>
      <c r="AR89" s="137"/>
      <c r="AS89" s="137"/>
      <c r="AT89" s="124"/>
      <c r="BC89" s="124"/>
      <c r="BD89" s="124"/>
    </row>
    <row r="90" spans="2:56" x14ac:dyDescent="0.35"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5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37"/>
      <c r="AL90" s="137"/>
      <c r="AM90" s="137"/>
      <c r="AN90" s="137"/>
      <c r="AO90" s="137"/>
      <c r="AP90" s="137"/>
      <c r="AQ90" s="137"/>
      <c r="AR90" s="137"/>
      <c r="AS90" s="137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</row>
    <row r="91" spans="2:56" x14ac:dyDescent="0.35"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5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37"/>
      <c r="AL91" s="137"/>
      <c r="AM91" s="137"/>
      <c r="AN91" s="137"/>
      <c r="AO91" s="137"/>
      <c r="AP91" s="137"/>
      <c r="AQ91" s="137"/>
      <c r="AR91" s="137"/>
      <c r="AS91" s="137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</row>
    <row r="92" spans="2:56" x14ac:dyDescent="0.35"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5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37"/>
      <c r="AL92" s="137"/>
      <c r="AM92" s="137"/>
      <c r="AN92" s="137"/>
      <c r="AO92" s="137"/>
      <c r="AP92" s="137"/>
      <c r="AQ92" s="137"/>
      <c r="AR92" s="137"/>
      <c r="AS92" s="137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</row>
    <row r="93" spans="2:56" x14ac:dyDescent="0.35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5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37"/>
      <c r="AL93" s="137"/>
      <c r="AM93" s="137"/>
      <c r="AN93" s="137"/>
      <c r="AO93" s="137"/>
      <c r="AP93" s="137"/>
      <c r="AQ93" s="137"/>
      <c r="AR93" s="137"/>
      <c r="AS93" s="137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</row>
    <row r="94" spans="2:56" x14ac:dyDescent="0.35"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5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37"/>
      <c r="AL94" s="137"/>
      <c r="AM94" s="137"/>
      <c r="AN94" s="137"/>
      <c r="AO94" s="137"/>
      <c r="AP94" s="137"/>
      <c r="AQ94" s="137"/>
      <c r="AR94" s="137"/>
      <c r="AS94" s="137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</row>
    <row r="95" spans="2:56" x14ac:dyDescent="0.35"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5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37"/>
      <c r="AL95" s="137"/>
      <c r="AM95" s="137"/>
      <c r="AN95" s="137"/>
      <c r="AO95" s="137"/>
      <c r="AP95" s="137"/>
      <c r="AQ95" s="137"/>
      <c r="AR95" s="137"/>
      <c r="AS95" s="137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</row>
    <row r="96" spans="2:56" x14ac:dyDescent="0.35">
      <c r="AK96" s="95"/>
      <c r="AL96" s="95"/>
      <c r="AM96" s="95"/>
      <c r="AN96" s="95"/>
      <c r="AO96" s="95"/>
      <c r="AP96" s="95"/>
      <c r="AQ96" s="95"/>
      <c r="AR96" s="95"/>
      <c r="AS96" s="95"/>
    </row>
    <row r="97" spans="37:45" x14ac:dyDescent="0.35">
      <c r="AK97" s="95"/>
      <c r="AL97" s="95"/>
      <c r="AM97" s="95"/>
      <c r="AN97" s="95"/>
      <c r="AO97" s="95"/>
      <c r="AP97" s="95"/>
      <c r="AQ97" s="95"/>
      <c r="AR97" s="95"/>
      <c r="AS97" s="95"/>
    </row>
    <row r="98" spans="37:45" x14ac:dyDescent="0.35">
      <c r="AK98" s="95"/>
      <c r="AL98" s="95"/>
      <c r="AM98" s="95"/>
      <c r="AN98" s="95"/>
      <c r="AO98" s="95"/>
      <c r="AP98" s="95"/>
      <c r="AQ98" s="95"/>
      <c r="AR98" s="95"/>
      <c r="AS98" s="95"/>
    </row>
    <row r="99" spans="37:45" x14ac:dyDescent="0.35">
      <c r="AK99" s="95"/>
      <c r="AL99" s="95"/>
      <c r="AM99" s="95"/>
      <c r="AN99" s="95"/>
      <c r="AO99" s="95"/>
      <c r="AP99" s="95"/>
      <c r="AQ99" s="95"/>
      <c r="AR99" s="95"/>
      <c r="AS99" s="95"/>
    </row>
    <row r="100" spans="37:45" x14ac:dyDescent="0.35">
      <c r="AK100" s="95"/>
      <c r="AL100" s="95"/>
      <c r="AM100" s="95"/>
      <c r="AN100" s="95"/>
      <c r="AO100" s="95"/>
      <c r="AP100" s="95"/>
      <c r="AQ100" s="95"/>
      <c r="AR100" s="95"/>
      <c r="AS100" s="95"/>
    </row>
    <row r="101" spans="37:45" x14ac:dyDescent="0.35">
      <c r="AK101" s="95"/>
      <c r="AL101" s="95"/>
      <c r="AM101" s="95"/>
      <c r="AN101" s="95"/>
      <c r="AO101" s="95"/>
      <c r="AP101" s="95"/>
      <c r="AQ101" s="95"/>
      <c r="AR101" s="95"/>
      <c r="AS101" s="95"/>
    </row>
    <row r="102" spans="37:45" x14ac:dyDescent="0.35">
      <c r="AK102" s="95"/>
      <c r="AL102" s="95"/>
      <c r="AM102" s="95"/>
      <c r="AN102" s="95"/>
      <c r="AO102" s="95"/>
      <c r="AP102" s="95"/>
      <c r="AQ102" s="95"/>
      <c r="AR102" s="95"/>
      <c r="AS102" s="95"/>
    </row>
    <row r="103" spans="37:45" x14ac:dyDescent="0.35">
      <c r="AK103" s="95"/>
      <c r="AL103" s="95"/>
      <c r="AM103" s="95"/>
      <c r="AN103" s="95"/>
      <c r="AO103" s="95"/>
      <c r="AP103" s="95"/>
      <c r="AQ103" s="95"/>
      <c r="AR103" s="95"/>
      <c r="AS103" s="95"/>
    </row>
    <row r="104" spans="37:45" x14ac:dyDescent="0.35">
      <c r="AK104" s="95"/>
      <c r="AL104" s="95"/>
      <c r="AM104" s="95"/>
      <c r="AN104" s="95"/>
      <c r="AO104" s="95"/>
      <c r="AP104" s="95"/>
      <c r="AQ104" s="95"/>
      <c r="AR104" s="95"/>
      <c r="AS104" s="95"/>
    </row>
    <row r="105" spans="37:45" x14ac:dyDescent="0.35">
      <c r="AK105" s="95"/>
      <c r="AL105" s="95"/>
      <c r="AM105" s="95"/>
      <c r="AN105" s="95"/>
      <c r="AO105" s="95"/>
      <c r="AP105" s="95"/>
      <c r="AQ105" s="95"/>
      <c r="AR105" s="95"/>
      <c r="AS105" s="95"/>
    </row>
    <row r="106" spans="37:45" x14ac:dyDescent="0.35">
      <c r="AK106" s="95"/>
      <c r="AL106" s="95"/>
      <c r="AM106" s="95"/>
      <c r="AN106" s="95"/>
      <c r="AO106" s="95"/>
      <c r="AP106" s="95"/>
      <c r="AQ106" s="95"/>
      <c r="AR106" s="95"/>
      <c r="AS106" s="95"/>
    </row>
    <row r="107" spans="37:45" x14ac:dyDescent="0.35">
      <c r="AK107" s="95"/>
      <c r="AL107" s="95"/>
      <c r="AM107" s="95"/>
      <c r="AN107" s="95"/>
      <c r="AO107" s="95"/>
      <c r="AP107" s="95"/>
      <c r="AQ107" s="95"/>
      <c r="AR107" s="95"/>
      <c r="AS107" s="95"/>
    </row>
    <row r="108" spans="37:45" x14ac:dyDescent="0.35">
      <c r="AK108" s="95"/>
      <c r="AL108" s="95"/>
      <c r="AM108" s="95"/>
      <c r="AN108" s="95"/>
      <c r="AO108" s="95"/>
      <c r="AP108" s="95"/>
      <c r="AQ108" s="95"/>
      <c r="AR108" s="95"/>
      <c r="AS108" s="95"/>
    </row>
    <row r="109" spans="37:45" x14ac:dyDescent="0.35">
      <c r="AK109" s="95"/>
      <c r="AL109" s="95"/>
      <c r="AM109" s="95"/>
      <c r="AN109" s="95"/>
      <c r="AO109" s="95"/>
      <c r="AP109" s="95"/>
      <c r="AQ109" s="95"/>
      <c r="AR109" s="95"/>
      <c r="AS109" s="95"/>
    </row>
  </sheetData>
  <dataValidations count="2">
    <dataValidation type="list" allowBlank="1" showInputMessage="1" showErrorMessage="1" sqref="D8" xr:uid="{00000000-0002-0000-0100-000001000000}">
      <formula1>$I$11:$L$11</formula1>
    </dataValidation>
    <dataValidation type="list" allowBlank="1" showInputMessage="1" showErrorMessage="1" sqref="F16:H16 I12:L14" xr:uid="{00000000-0002-0000-0100-000002000000}">
      <formula1>$A$12:$A$14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062A3-450C-4C8B-B493-3F4D8B323220}">
  <sheetPr codeName="Sheet8">
    <tabColor rgb="FF9ECCA6"/>
  </sheetPr>
  <dimension ref="A1:AC126"/>
  <sheetViews>
    <sheetView showGridLines="0" zoomScale="80" zoomScaleNormal="80" workbookViewId="0">
      <selection activeCell="B2" sqref="B2"/>
    </sheetView>
  </sheetViews>
  <sheetFormatPr defaultColWidth="9.23046875" defaultRowHeight="12.5" x14ac:dyDescent="0.25"/>
  <cols>
    <col min="1" max="1" width="5.69140625" style="124" customWidth="1"/>
    <col min="2" max="18" width="15.69140625" style="124" customWidth="1"/>
    <col min="19" max="19" width="15.69140625" style="155" customWidth="1"/>
    <col min="20" max="21" width="15.69140625" style="124" customWidth="1"/>
    <col min="22" max="27" width="15.69140625" style="131" customWidth="1"/>
    <col min="28" max="29" width="15.69140625" style="124" customWidth="1"/>
    <col min="30" max="16384" width="9.23046875" style="124"/>
  </cols>
  <sheetData>
    <row r="1" spans="1:27" ht="18" x14ac:dyDescent="0.4">
      <c r="B1" s="106" t="s">
        <v>150</v>
      </c>
    </row>
    <row r="2" spans="1:27" ht="15.5" x14ac:dyDescent="0.35">
      <c r="B2" s="107"/>
      <c r="D2" s="125"/>
      <c r="E2" s="125"/>
      <c r="J2" s="125"/>
      <c r="K2" s="125"/>
    </row>
    <row r="3" spans="1:27" x14ac:dyDescent="0.25">
      <c r="I3" s="135"/>
      <c r="L3" s="135"/>
    </row>
    <row r="4" spans="1:27" ht="21" x14ac:dyDescent="0.5"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</row>
    <row r="6" spans="1:27" ht="13" x14ac:dyDescent="0.3">
      <c r="B6" s="126" t="s">
        <v>88</v>
      </c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</row>
    <row r="7" spans="1:27" x14ac:dyDescent="0.25"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1"/>
    </row>
    <row r="8" spans="1:27" ht="13" x14ac:dyDescent="0.3">
      <c r="B8" s="127"/>
      <c r="C8" s="127"/>
      <c r="D8" s="215" t="s">
        <v>146</v>
      </c>
      <c r="E8" s="215"/>
      <c r="F8" s="215"/>
      <c r="G8" s="215" t="s">
        <v>147</v>
      </c>
      <c r="H8" s="215"/>
      <c r="I8" s="215"/>
      <c r="J8" s="215" t="s">
        <v>148</v>
      </c>
      <c r="K8" s="215"/>
      <c r="L8" s="215"/>
      <c r="M8" s="215" t="s">
        <v>149</v>
      </c>
      <c r="N8" s="215"/>
      <c r="O8" s="215"/>
      <c r="P8" s="156"/>
      <c r="T8" s="131"/>
      <c r="U8" s="131"/>
      <c r="Y8" s="124"/>
      <c r="Z8" s="124"/>
      <c r="AA8" s="124"/>
    </row>
    <row r="9" spans="1:27" ht="13" x14ac:dyDescent="0.3">
      <c r="A9" s="125"/>
      <c r="B9" s="127" t="s">
        <v>45</v>
      </c>
      <c r="C9" s="127" t="s">
        <v>35</v>
      </c>
      <c r="D9" s="129" t="s">
        <v>91</v>
      </c>
      <c r="E9" s="129" t="s">
        <v>92</v>
      </c>
      <c r="F9" s="129" t="s">
        <v>93</v>
      </c>
      <c r="G9" s="129" t="s">
        <v>106</v>
      </c>
      <c r="H9" s="129" t="s">
        <v>143</v>
      </c>
      <c r="I9" s="129" t="s">
        <v>107</v>
      </c>
      <c r="J9" s="129" t="s">
        <v>78</v>
      </c>
      <c r="K9" s="129" t="s">
        <v>108</v>
      </c>
      <c r="L9" s="129" t="s">
        <v>109</v>
      </c>
      <c r="M9" s="129" t="s">
        <v>110</v>
      </c>
      <c r="N9" s="129" t="s">
        <v>111</v>
      </c>
      <c r="O9" s="129" t="s">
        <v>112</v>
      </c>
      <c r="P9" s="142" t="s">
        <v>129</v>
      </c>
      <c r="T9" s="131"/>
      <c r="U9" s="131"/>
      <c r="Y9" s="124"/>
      <c r="Z9" s="124"/>
      <c r="AA9" s="124"/>
    </row>
    <row r="10" spans="1:27" x14ac:dyDescent="0.25">
      <c r="B10" s="128" t="s">
        <v>71</v>
      </c>
      <c r="C10" s="128" t="s">
        <v>133</v>
      </c>
      <c r="D10" s="201">
        <v>333648454.02316904</v>
      </c>
      <c r="E10" s="201">
        <v>539815381.44109583</v>
      </c>
      <c r="F10" s="201">
        <v>451576298.86493337</v>
      </c>
      <c r="G10" s="201">
        <v>762794109.35910845</v>
      </c>
      <c r="H10" s="201">
        <v>952860883.77115726</v>
      </c>
      <c r="I10" s="201">
        <v>1154773869.9201288</v>
      </c>
      <c r="J10" s="201">
        <v>782357141.01805532</v>
      </c>
      <c r="K10" s="201">
        <v>1096480906.4244585</v>
      </c>
      <c r="L10" s="201">
        <v>1168026436.1891193</v>
      </c>
      <c r="M10" s="201">
        <v>656308249.1944114</v>
      </c>
      <c r="N10" s="201">
        <v>969602303.37465107</v>
      </c>
      <c r="O10" s="201">
        <v>967802642.50086617</v>
      </c>
      <c r="P10" s="203" t="s">
        <v>109</v>
      </c>
      <c r="T10" s="131"/>
      <c r="U10" s="131"/>
      <c r="Y10" s="124"/>
      <c r="Z10" s="124"/>
      <c r="AA10" s="124"/>
    </row>
    <row r="11" spans="1:27" x14ac:dyDescent="0.25">
      <c r="B11" s="128" t="s">
        <v>72</v>
      </c>
      <c r="C11" s="128" t="s">
        <v>145</v>
      </c>
      <c r="D11" s="201">
        <v>455416352.67457908</v>
      </c>
      <c r="E11" s="201">
        <v>711097159.84896684</v>
      </c>
      <c r="F11" s="201">
        <v>637013050.83999991</v>
      </c>
      <c r="G11" s="201">
        <v>906926533.08177269</v>
      </c>
      <c r="H11" s="201">
        <v>1186798462.8439693</v>
      </c>
      <c r="I11" s="201">
        <v>1399206540.3677034</v>
      </c>
      <c r="J11" s="201">
        <v>918330869.22196603</v>
      </c>
      <c r="K11" s="201">
        <v>1369017781.8828487</v>
      </c>
      <c r="L11" s="201">
        <v>1421667038.3890903</v>
      </c>
      <c r="M11" s="201">
        <v>830725646.48004794</v>
      </c>
      <c r="N11" s="201">
        <v>1220169676.8471794</v>
      </c>
      <c r="O11" s="201">
        <v>1241409340.0526121</v>
      </c>
      <c r="P11" s="203" t="s">
        <v>109</v>
      </c>
      <c r="S11" s="131"/>
      <c r="T11" s="131"/>
      <c r="U11" s="131"/>
      <c r="Y11" s="124"/>
      <c r="Z11" s="124"/>
      <c r="AA11" s="124"/>
    </row>
    <row r="12" spans="1:27" x14ac:dyDescent="0.25">
      <c r="B12" s="128" t="s">
        <v>73</v>
      </c>
      <c r="C12" s="128" t="s">
        <v>81</v>
      </c>
      <c r="D12" s="201">
        <v>238863408.41028622</v>
      </c>
      <c r="E12" s="201">
        <v>341456573.31314313</v>
      </c>
      <c r="F12" s="201">
        <v>229413528.49103364</v>
      </c>
      <c r="G12" s="201">
        <v>119106074.04812038</v>
      </c>
      <c r="H12" s="201">
        <v>171039401.53717026</v>
      </c>
      <c r="I12" s="201">
        <v>366065327.71506983</v>
      </c>
      <c r="J12" s="201">
        <v>165892333.35216227</v>
      </c>
      <c r="K12" s="201">
        <v>261148086.69144991</v>
      </c>
      <c r="L12" s="201">
        <v>380387916.19759452</v>
      </c>
      <c r="M12" s="201">
        <v>-11080596.406774638</v>
      </c>
      <c r="N12" s="201">
        <v>123152308.06364262</v>
      </c>
      <c r="O12" s="201">
        <v>90607403.468022376</v>
      </c>
      <c r="P12" s="203" t="s">
        <v>109</v>
      </c>
      <c r="S12" s="131"/>
      <c r="T12" s="131"/>
      <c r="U12" s="131"/>
      <c r="Y12" s="124"/>
      <c r="Z12" s="124"/>
      <c r="AA12" s="124"/>
    </row>
    <row r="13" spans="1:27" x14ac:dyDescent="0.25">
      <c r="B13" s="128" t="s">
        <v>80</v>
      </c>
      <c r="C13" s="128" t="s">
        <v>82</v>
      </c>
      <c r="D13" s="201">
        <v>387327188.50450069</v>
      </c>
      <c r="E13" s="201">
        <v>657720870.59174204</v>
      </c>
      <c r="F13" s="201">
        <v>587454818.19743395</v>
      </c>
      <c r="G13" s="201">
        <v>952693007.313205</v>
      </c>
      <c r="H13" s="201">
        <v>1230724129.971895</v>
      </c>
      <c r="I13" s="201">
        <v>1422051115.8175306</v>
      </c>
      <c r="J13" s="201">
        <v>966472497.13880813</v>
      </c>
      <c r="K13" s="201">
        <v>1398957892.032712</v>
      </c>
      <c r="L13" s="201">
        <v>1438523599.7946053</v>
      </c>
      <c r="M13" s="201">
        <v>879329266.19749546</v>
      </c>
      <c r="N13" s="201">
        <v>1291398512.9490919</v>
      </c>
      <c r="O13" s="201">
        <v>1279265400.9398401</v>
      </c>
      <c r="P13" s="203" t="s">
        <v>109</v>
      </c>
      <c r="S13" s="131"/>
      <c r="T13" s="131"/>
      <c r="U13" s="131"/>
      <c r="Y13" s="124"/>
      <c r="Z13" s="124"/>
      <c r="AA13" s="124"/>
    </row>
    <row r="14" spans="1:27" ht="13" thickBot="1" x14ac:dyDescent="0.3">
      <c r="B14" s="128"/>
      <c r="C14" s="128" t="s">
        <v>89</v>
      </c>
      <c r="D14" s="204">
        <v>353813850.90313375</v>
      </c>
      <c r="E14" s="204">
        <v>562522496.29873693</v>
      </c>
      <c r="F14" s="204">
        <v>476364424.09835017</v>
      </c>
      <c r="G14" s="204">
        <v>685379930.95055175</v>
      </c>
      <c r="H14" s="204">
        <v>885355719.53104806</v>
      </c>
      <c r="I14" s="204">
        <v>1085524213.4551082</v>
      </c>
      <c r="J14" s="204">
        <v>708263210.18274796</v>
      </c>
      <c r="K14" s="204">
        <v>1031401166.7578673</v>
      </c>
      <c r="L14" s="204">
        <v>1102151247.6426024</v>
      </c>
      <c r="M14" s="204">
        <v>588820641.3662951</v>
      </c>
      <c r="N14" s="204">
        <v>901080700.3086412</v>
      </c>
      <c r="O14" s="204">
        <v>894771196.74033523</v>
      </c>
      <c r="P14" s="205" t="s">
        <v>109</v>
      </c>
      <c r="S14" s="131"/>
      <c r="T14" s="131"/>
      <c r="U14" s="131"/>
      <c r="Y14" s="124"/>
      <c r="Z14" s="124"/>
      <c r="AA14" s="124"/>
    </row>
    <row r="15" spans="1:27" x14ac:dyDescent="0.25">
      <c r="S15" s="157"/>
    </row>
    <row r="16" spans="1:27" ht="13" x14ac:dyDescent="0.3">
      <c r="B16" s="126" t="s">
        <v>95</v>
      </c>
      <c r="C16" s="126"/>
      <c r="D16" s="132"/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55"/>
      <c r="S16" s="131"/>
      <c r="T16" s="131"/>
      <c r="U16" s="131"/>
      <c r="Y16" s="124"/>
      <c r="Z16" s="124"/>
      <c r="AA16" s="124"/>
    </row>
    <row r="17" spans="2:27" x14ac:dyDescent="0.25">
      <c r="D17" s="131"/>
      <c r="E17" s="131"/>
      <c r="F17" s="131"/>
      <c r="G17" s="131"/>
      <c r="H17" s="131"/>
      <c r="I17" s="131"/>
      <c r="P17" s="155"/>
      <c r="S17" s="131"/>
      <c r="T17" s="131"/>
      <c r="U17" s="131"/>
      <c r="Y17" s="124"/>
      <c r="Z17" s="124"/>
      <c r="AA17" s="124"/>
    </row>
    <row r="18" spans="2:27" ht="13" x14ac:dyDescent="0.3">
      <c r="B18" s="127"/>
      <c r="C18" s="127"/>
      <c r="D18" s="215" t="s">
        <v>146</v>
      </c>
      <c r="E18" s="215"/>
      <c r="F18" s="215"/>
      <c r="G18" s="215" t="s">
        <v>147</v>
      </c>
      <c r="H18" s="215"/>
      <c r="I18" s="215"/>
      <c r="J18" s="215" t="s">
        <v>148</v>
      </c>
      <c r="K18" s="215"/>
      <c r="L18" s="215"/>
      <c r="M18" s="215" t="s">
        <v>149</v>
      </c>
      <c r="N18" s="215"/>
      <c r="O18" s="215"/>
      <c r="P18" s="155"/>
      <c r="Q18" s="155"/>
      <c r="R18" s="155"/>
      <c r="T18" s="155"/>
      <c r="U18" s="131"/>
      <c r="Y18" s="124"/>
      <c r="Z18" s="124"/>
      <c r="AA18" s="124"/>
    </row>
    <row r="19" spans="2:27" ht="13" x14ac:dyDescent="0.3">
      <c r="B19" s="127" t="s">
        <v>133</v>
      </c>
      <c r="C19" s="127"/>
      <c r="D19" s="129" t="s">
        <v>91</v>
      </c>
      <c r="E19" s="129" t="s">
        <v>92</v>
      </c>
      <c r="F19" s="129" t="s">
        <v>93</v>
      </c>
      <c r="G19" s="129" t="s">
        <v>106</v>
      </c>
      <c r="H19" s="129" t="s">
        <v>143</v>
      </c>
      <c r="I19" s="129" t="s">
        <v>107</v>
      </c>
      <c r="J19" s="129" t="s">
        <v>78</v>
      </c>
      <c r="K19" s="129" t="s">
        <v>108</v>
      </c>
      <c r="L19" s="129" t="s">
        <v>109</v>
      </c>
      <c r="M19" s="129" t="s">
        <v>110</v>
      </c>
      <c r="N19" s="129" t="s">
        <v>111</v>
      </c>
      <c r="O19" s="129" t="s">
        <v>112</v>
      </c>
      <c r="P19" s="155"/>
      <c r="Q19" s="155"/>
      <c r="R19" s="155"/>
      <c r="T19" s="155"/>
      <c r="U19" s="131"/>
      <c r="Y19" s="124"/>
      <c r="Z19" s="124"/>
      <c r="AA19" s="124"/>
    </row>
    <row r="20" spans="2:27" ht="13" thickBot="1" x14ac:dyDescent="0.3">
      <c r="B20" s="128" t="s">
        <v>97</v>
      </c>
      <c r="C20" s="128"/>
      <c r="D20" s="200">
        <v>-583074285.75448072</v>
      </c>
      <c r="E20" s="201">
        <v>-756473955.44733691</v>
      </c>
      <c r="F20" s="201">
        <v>-779077264.97431016</v>
      </c>
      <c r="G20" s="201">
        <v>-917815620.17651618</v>
      </c>
      <c r="H20" s="201">
        <v>-1145291955.1863394</v>
      </c>
      <c r="I20" s="201">
        <v>-1020058372.5500923</v>
      </c>
      <c r="J20" s="201">
        <v>-743397847.89989901</v>
      </c>
      <c r="K20" s="201">
        <v>-975780767.98467314</v>
      </c>
      <c r="L20" s="201">
        <v>-995649583.27654338</v>
      </c>
      <c r="M20" s="201">
        <v>-958245336.23637605</v>
      </c>
      <c r="N20" s="201">
        <v>-1301672387.0653033</v>
      </c>
      <c r="O20" s="201">
        <v>-1362642802.7465215</v>
      </c>
      <c r="P20" s="155"/>
      <c r="Q20" s="155"/>
      <c r="R20" s="155"/>
      <c r="T20" s="155"/>
      <c r="U20" s="131"/>
      <c r="Y20" s="124"/>
      <c r="Z20" s="124"/>
      <c r="AA20" s="124"/>
    </row>
    <row r="21" spans="2:27" x14ac:dyDescent="0.25">
      <c r="B21" s="128" t="s">
        <v>98</v>
      </c>
      <c r="C21" s="128"/>
      <c r="D21" s="201">
        <v>-74989777.303553417</v>
      </c>
      <c r="E21" s="201">
        <v>-97377688.721580908</v>
      </c>
      <c r="F21" s="201">
        <v>-99986369.738071188</v>
      </c>
      <c r="G21" s="201">
        <v>-117436821.06028177</v>
      </c>
      <c r="H21" s="201">
        <v>-146861608.44068593</v>
      </c>
      <c r="I21" s="201">
        <v>-130831221.53462712</v>
      </c>
      <c r="J21" s="201">
        <v>-95647338.59849453</v>
      </c>
      <c r="K21" s="201">
        <v>-125256380.09830308</v>
      </c>
      <c r="L21" s="201">
        <v>-127812765.08970425</v>
      </c>
      <c r="M21" s="201">
        <v>-123176416.95998624</v>
      </c>
      <c r="N21" s="201">
        <v>-166662515.06094363</v>
      </c>
      <c r="O21" s="201">
        <v>-174347660.2046001</v>
      </c>
      <c r="P21" s="155"/>
      <c r="Q21" s="155"/>
      <c r="R21" s="155"/>
      <c r="T21" s="155"/>
      <c r="U21" s="131"/>
      <c r="Y21" s="124"/>
      <c r="Z21" s="124"/>
      <c r="AA21" s="124"/>
    </row>
    <row r="22" spans="2:27" x14ac:dyDescent="0.25">
      <c r="B22" s="128" t="s">
        <v>90</v>
      </c>
      <c r="C22" s="128"/>
      <c r="D22" s="201">
        <v>-7479591.0872085746</v>
      </c>
      <c r="E22" s="201">
        <v>9443858.7931356765</v>
      </c>
      <c r="F22" s="201">
        <v>-18656837.486635573</v>
      </c>
      <c r="G22" s="201">
        <v>115783826.48129158</v>
      </c>
      <c r="H22" s="201">
        <v>130332377.43944189</v>
      </c>
      <c r="I22" s="201">
        <v>153261804.57208744</v>
      </c>
      <c r="J22" s="201">
        <v>60032699.769895032</v>
      </c>
      <c r="K22" s="201">
        <v>92398649.167288929</v>
      </c>
      <c r="L22" s="201">
        <v>136242204.82977128</v>
      </c>
      <c r="M22" s="201">
        <v>60921757.465499409</v>
      </c>
      <c r="N22" s="201">
        <v>115149978.17547132</v>
      </c>
      <c r="O22" s="201">
        <v>139854366.20783654</v>
      </c>
      <c r="P22" s="155"/>
      <c r="Q22" s="155"/>
      <c r="R22" s="155"/>
      <c r="T22" s="155"/>
      <c r="U22" s="131"/>
      <c r="Y22" s="124"/>
      <c r="Z22" s="124"/>
      <c r="AA22" s="124"/>
    </row>
    <row r="23" spans="2:27" x14ac:dyDescent="0.25">
      <c r="B23" s="128" t="s">
        <v>94</v>
      </c>
      <c r="C23" s="128"/>
      <c r="D23" s="201">
        <v>-970490.68811830366</v>
      </c>
      <c r="E23" s="201">
        <v>9894057.9336883239</v>
      </c>
      <c r="F23" s="201">
        <v>9895301.5572918374</v>
      </c>
      <c r="G23" s="201">
        <v>18795164.294743385</v>
      </c>
      <c r="H23" s="201">
        <v>15879000.062048873</v>
      </c>
      <c r="I23" s="201">
        <v>15871585.236865053</v>
      </c>
      <c r="J23" s="201">
        <v>24988547.333906107</v>
      </c>
      <c r="K23" s="201">
        <v>18094882.993886858</v>
      </c>
      <c r="L23" s="201">
        <v>18094737.203167733</v>
      </c>
      <c r="M23" s="201">
        <v>22649280.068163775</v>
      </c>
      <c r="N23" s="201">
        <v>23667871.163777106</v>
      </c>
      <c r="O23" s="201">
        <v>23729353.953406956</v>
      </c>
      <c r="P23" s="155"/>
      <c r="Q23" s="155"/>
      <c r="R23" s="155"/>
      <c r="T23" s="155"/>
      <c r="U23" s="131"/>
      <c r="Y23" s="124"/>
      <c r="Z23" s="124"/>
      <c r="AA23" s="124"/>
    </row>
    <row r="24" spans="2:27" x14ac:dyDescent="0.25">
      <c r="B24" s="128" t="s">
        <v>86</v>
      </c>
      <c r="C24" s="128"/>
      <c r="D24" s="201">
        <v>65063853.318659253</v>
      </c>
      <c r="E24" s="201">
        <v>145797411.84172583</v>
      </c>
      <c r="F24" s="201">
        <v>241834745.7957947</v>
      </c>
      <c r="G24" s="201">
        <v>1138613243.2932301</v>
      </c>
      <c r="H24" s="201">
        <v>1367350239.3169513</v>
      </c>
      <c r="I24" s="201">
        <v>1316168071.8347042</v>
      </c>
      <c r="J24" s="201">
        <v>1046892270.9326019</v>
      </c>
      <c r="K24" s="201">
        <v>1387885807.0945179</v>
      </c>
      <c r="L24" s="201">
        <v>1312735856.9470167</v>
      </c>
      <c r="M24" s="201">
        <v>1156435915.2245007</v>
      </c>
      <c r="N24" s="201">
        <v>1437301920.7961676</v>
      </c>
      <c r="O24" s="201">
        <v>1371693999.1432395</v>
      </c>
      <c r="P24" s="155"/>
      <c r="Q24" s="155"/>
      <c r="R24" s="155"/>
      <c r="T24" s="155"/>
      <c r="U24" s="131"/>
      <c r="Y24" s="124"/>
      <c r="Z24" s="124"/>
      <c r="AA24" s="124"/>
    </row>
    <row r="25" spans="2:27" x14ac:dyDescent="0.25">
      <c r="B25" s="128" t="s">
        <v>79</v>
      </c>
      <c r="C25" s="128"/>
      <c r="D25" s="201">
        <v>24090427.942595992</v>
      </c>
      <c r="E25" s="201">
        <v>55055491.445209473</v>
      </c>
      <c r="F25" s="201">
        <v>59214461.754799746</v>
      </c>
      <c r="G25" s="201">
        <v>28673317.632315807</v>
      </c>
      <c r="H25" s="201">
        <v>57108913.559090711</v>
      </c>
      <c r="I25" s="201">
        <v>63737122.563836128</v>
      </c>
      <c r="J25" s="201">
        <v>25917108.782006279</v>
      </c>
      <c r="K25" s="201">
        <v>54477328.358153135</v>
      </c>
      <c r="L25" s="201">
        <v>61765342.742465407</v>
      </c>
      <c r="M25" s="201">
        <v>26424151.397399031</v>
      </c>
      <c r="N25" s="201">
        <v>60030856.02537445</v>
      </c>
      <c r="O25" s="201">
        <v>65912586.326170459</v>
      </c>
      <c r="P25" s="155"/>
      <c r="Q25" s="155"/>
      <c r="R25" s="155"/>
      <c r="T25" s="155"/>
      <c r="U25" s="131"/>
      <c r="Y25" s="124"/>
      <c r="Z25" s="124"/>
      <c r="AA25" s="124"/>
    </row>
    <row r="26" spans="2:27" x14ac:dyDescent="0.25">
      <c r="B26" s="128" t="s">
        <v>101</v>
      </c>
      <c r="C26" s="128"/>
      <c r="D26" s="202">
        <v>911008317.59527481</v>
      </c>
      <c r="E26" s="202">
        <v>1173476205.5962539</v>
      </c>
      <c r="F26" s="202">
        <v>1038352261.9560642</v>
      </c>
      <c r="G26" s="202">
        <v>496180998.89432532</v>
      </c>
      <c r="H26" s="202">
        <v>674343917.02064979</v>
      </c>
      <c r="I26" s="202">
        <v>756624879.79735589</v>
      </c>
      <c r="J26" s="202">
        <v>463571700.69803941</v>
      </c>
      <c r="K26" s="202">
        <v>644661386.89358783</v>
      </c>
      <c r="L26" s="202">
        <v>762650642.83294559</v>
      </c>
      <c r="M26" s="202">
        <v>471298898.23521096</v>
      </c>
      <c r="N26" s="202">
        <v>801786579.34010816</v>
      </c>
      <c r="O26" s="202">
        <v>903602799.82133389</v>
      </c>
      <c r="P26" s="155"/>
      <c r="Q26" s="155"/>
      <c r="R26" s="155"/>
      <c r="T26" s="155"/>
      <c r="U26" s="131"/>
      <c r="Y26" s="124"/>
      <c r="Z26" s="124"/>
      <c r="AA26" s="124"/>
    </row>
    <row r="27" spans="2:27" x14ac:dyDescent="0.25">
      <c r="B27" s="128" t="s">
        <v>38</v>
      </c>
      <c r="C27" s="128"/>
      <c r="D27" s="201">
        <v>333648454.02316892</v>
      </c>
      <c r="E27" s="201">
        <v>539815381.44109535</v>
      </c>
      <c r="F27" s="201">
        <v>451576298.86493361</v>
      </c>
      <c r="G27" s="201">
        <v>762794109.35910821</v>
      </c>
      <c r="H27" s="201">
        <v>952860883.77115726</v>
      </c>
      <c r="I27" s="201">
        <v>1154773869.9201293</v>
      </c>
      <c r="J27" s="201">
        <v>782357141.0180552</v>
      </c>
      <c r="K27" s="201">
        <v>1096480906.4244583</v>
      </c>
      <c r="L27" s="201">
        <v>1168026436.1891189</v>
      </c>
      <c r="M27" s="201">
        <v>656308249.19441152</v>
      </c>
      <c r="N27" s="201">
        <v>969602303.37465167</v>
      </c>
      <c r="O27" s="201">
        <v>967802642.50086594</v>
      </c>
      <c r="P27" s="155"/>
      <c r="Q27" s="155"/>
      <c r="R27" s="155"/>
      <c r="T27" s="155"/>
      <c r="U27" s="131"/>
      <c r="Y27" s="124"/>
      <c r="Z27" s="124"/>
      <c r="AA27" s="124"/>
    </row>
    <row r="28" spans="2:27" x14ac:dyDescent="0.25">
      <c r="D28" s="133"/>
      <c r="E28" s="149"/>
      <c r="F28" s="133"/>
      <c r="G28" s="133"/>
      <c r="H28" s="133"/>
      <c r="I28" s="150"/>
      <c r="P28" s="155"/>
      <c r="Q28" s="155"/>
      <c r="R28" s="155"/>
      <c r="T28" s="155"/>
      <c r="U28" s="131"/>
      <c r="Y28" s="124"/>
      <c r="Z28" s="124"/>
      <c r="AA28" s="124"/>
    </row>
    <row r="29" spans="2:27" ht="13" x14ac:dyDescent="0.3">
      <c r="B29" s="127"/>
      <c r="C29" s="127"/>
      <c r="D29" s="215" t="s">
        <v>146</v>
      </c>
      <c r="E29" s="215"/>
      <c r="F29" s="215"/>
      <c r="G29" s="215" t="s">
        <v>147</v>
      </c>
      <c r="H29" s="215"/>
      <c r="I29" s="215"/>
      <c r="J29" s="215" t="s">
        <v>148</v>
      </c>
      <c r="K29" s="215"/>
      <c r="L29" s="215"/>
      <c r="M29" s="215" t="s">
        <v>149</v>
      </c>
      <c r="N29" s="215"/>
      <c r="O29" s="215"/>
      <c r="P29" s="155"/>
      <c r="Q29" s="155"/>
      <c r="R29" s="155"/>
      <c r="T29" s="155"/>
      <c r="U29" s="131"/>
      <c r="Y29" s="124"/>
      <c r="Z29" s="124"/>
      <c r="AA29" s="124"/>
    </row>
    <row r="30" spans="2:27" ht="13" x14ac:dyDescent="0.3">
      <c r="B30" s="127" t="s">
        <v>145</v>
      </c>
      <c r="C30" s="127"/>
      <c r="D30" s="129" t="s">
        <v>91</v>
      </c>
      <c r="E30" s="129" t="s">
        <v>92</v>
      </c>
      <c r="F30" s="129" t="s">
        <v>93</v>
      </c>
      <c r="G30" s="129" t="s">
        <v>106</v>
      </c>
      <c r="H30" s="129" t="s">
        <v>143</v>
      </c>
      <c r="I30" s="129" t="s">
        <v>107</v>
      </c>
      <c r="J30" s="129" t="s">
        <v>78</v>
      </c>
      <c r="K30" s="129" t="s">
        <v>108</v>
      </c>
      <c r="L30" s="129" t="s">
        <v>109</v>
      </c>
      <c r="M30" s="129" t="s">
        <v>110</v>
      </c>
      <c r="N30" s="129" t="s">
        <v>111</v>
      </c>
      <c r="O30" s="129" t="s">
        <v>112</v>
      </c>
      <c r="P30" s="155"/>
      <c r="Q30" s="155"/>
      <c r="R30" s="155"/>
      <c r="T30" s="155"/>
      <c r="U30" s="131"/>
      <c r="Y30" s="124"/>
      <c r="Z30" s="124"/>
      <c r="AA30" s="124"/>
    </row>
    <row r="31" spans="2:27" x14ac:dyDescent="0.25">
      <c r="B31" s="128" t="s">
        <v>97</v>
      </c>
      <c r="C31" s="128"/>
      <c r="D31" s="201">
        <v>-583074285.75448072</v>
      </c>
      <c r="E31" s="201">
        <v>-772059865.58759046</v>
      </c>
      <c r="F31" s="201">
        <v>-779077264.97431016</v>
      </c>
      <c r="G31" s="201">
        <v>-917815620.17651618</v>
      </c>
      <c r="H31" s="201">
        <v>-1173000239.8801236</v>
      </c>
      <c r="I31" s="201">
        <v>-1020058372.5500923</v>
      </c>
      <c r="J31" s="201">
        <v>-743397847.89989901</v>
      </c>
      <c r="K31" s="201">
        <v>-998464230.3928206</v>
      </c>
      <c r="L31" s="201">
        <v>-995649583.27654338</v>
      </c>
      <c r="M31" s="201">
        <v>-958245336.23637605</v>
      </c>
      <c r="N31" s="201">
        <v>-1348542432.8845477</v>
      </c>
      <c r="O31" s="201">
        <v>-1362642802.7465215</v>
      </c>
      <c r="P31" s="155"/>
      <c r="Q31" s="155"/>
      <c r="R31" s="155"/>
      <c r="T31" s="155"/>
      <c r="U31" s="131"/>
      <c r="Y31" s="124"/>
      <c r="Z31" s="124"/>
      <c r="AA31" s="124"/>
    </row>
    <row r="32" spans="2:27" x14ac:dyDescent="0.25">
      <c r="B32" s="128" t="s">
        <v>98</v>
      </c>
      <c r="C32" s="128"/>
      <c r="D32" s="201">
        <v>-74989777.303553417</v>
      </c>
      <c r="E32" s="201">
        <v>-99599028.666178972</v>
      </c>
      <c r="F32" s="201">
        <v>-99986369.738071188</v>
      </c>
      <c r="G32" s="201">
        <v>-117436821.06028177</v>
      </c>
      <c r="H32" s="201">
        <v>-150810657.23108253</v>
      </c>
      <c r="I32" s="201">
        <v>-130831221.53462712</v>
      </c>
      <c r="J32" s="201">
        <v>-95647338.59849453</v>
      </c>
      <c r="K32" s="201">
        <v>-128408024.80602343</v>
      </c>
      <c r="L32" s="201">
        <v>-127812765.08970425</v>
      </c>
      <c r="M32" s="201">
        <v>-123176416.95998624</v>
      </c>
      <c r="N32" s="201">
        <v>-173174648.40279958</v>
      </c>
      <c r="O32" s="201">
        <v>-174347660.2046001</v>
      </c>
      <c r="P32" s="155"/>
      <c r="Q32" s="155"/>
      <c r="R32" s="155"/>
      <c r="T32" s="155"/>
      <c r="U32" s="131"/>
      <c r="Y32" s="124"/>
      <c r="Z32" s="124"/>
      <c r="AA32" s="124"/>
    </row>
    <row r="33" spans="2:27" x14ac:dyDescent="0.25">
      <c r="B33" s="128" t="s">
        <v>90</v>
      </c>
      <c r="C33" s="128"/>
      <c r="D33" s="201">
        <v>56630018.259023607</v>
      </c>
      <c r="E33" s="201">
        <v>64796131.348174199</v>
      </c>
      <c r="F33" s="201">
        <v>12106076.054721924</v>
      </c>
      <c r="G33" s="201">
        <v>136339671.13663122</v>
      </c>
      <c r="H33" s="201">
        <v>159361553.72100088</v>
      </c>
      <c r="I33" s="201">
        <v>189063409.30221945</v>
      </c>
      <c r="J33" s="201">
        <v>99173013.168795228</v>
      </c>
      <c r="K33" s="201">
        <v>136657751.29900929</v>
      </c>
      <c r="L33" s="201">
        <v>172713166.11260259</v>
      </c>
      <c r="M33" s="201">
        <v>96899090.078174457</v>
      </c>
      <c r="N33" s="201">
        <v>155179827.9700287</v>
      </c>
      <c r="O33" s="201">
        <v>177551500.68968886</v>
      </c>
      <c r="P33" s="155"/>
      <c r="Q33" s="155"/>
      <c r="R33" s="155"/>
      <c r="T33" s="155"/>
      <c r="U33" s="131"/>
      <c r="Y33" s="124"/>
      <c r="Z33" s="124"/>
      <c r="AA33" s="124"/>
    </row>
    <row r="34" spans="2:27" x14ac:dyDescent="0.25">
      <c r="B34" s="128" t="s">
        <v>94</v>
      </c>
      <c r="C34" s="128"/>
      <c r="D34" s="201">
        <v>27075280.509753775</v>
      </c>
      <c r="E34" s="201">
        <v>59712459.536802992</v>
      </c>
      <c r="F34" s="201">
        <v>52210770.314491212</v>
      </c>
      <c r="G34" s="201">
        <v>120211861.8217386</v>
      </c>
      <c r="H34" s="201">
        <v>180825012.97613254</v>
      </c>
      <c r="I34" s="201">
        <v>182694322.9857904</v>
      </c>
      <c r="J34" s="201">
        <v>118235971.89303522</v>
      </c>
      <c r="K34" s="201">
        <v>177116062.32260162</v>
      </c>
      <c r="L34" s="201">
        <v>179704892.64391878</v>
      </c>
      <c r="M34" s="201">
        <v>126975594.75567171</v>
      </c>
      <c r="N34" s="201">
        <v>208220961.90962017</v>
      </c>
      <c r="O34" s="201">
        <v>210688657.59949407</v>
      </c>
      <c r="P34" s="155"/>
      <c r="Q34" s="155"/>
      <c r="R34" s="155"/>
      <c r="T34" s="155"/>
      <c r="U34" s="131"/>
      <c r="Y34" s="124"/>
      <c r="Z34" s="124"/>
      <c r="AA34" s="124"/>
    </row>
    <row r="35" spans="2:27" x14ac:dyDescent="0.25">
      <c r="B35" s="128" t="s">
        <v>86</v>
      </c>
      <c r="C35" s="128"/>
      <c r="D35" s="201">
        <v>183083804.66928729</v>
      </c>
      <c r="E35" s="201">
        <v>298693549.52820766</v>
      </c>
      <c r="F35" s="201">
        <v>308360433.09681135</v>
      </c>
      <c r="G35" s="201">
        <v>980105346.56725693</v>
      </c>
      <c r="H35" s="201">
        <v>1148215871.4192984</v>
      </c>
      <c r="I35" s="201">
        <v>1137994661.6789231</v>
      </c>
      <c r="J35" s="201">
        <v>892018343.00724053</v>
      </c>
      <c r="K35" s="201">
        <v>1169606999.2352028</v>
      </c>
      <c r="L35" s="201">
        <v>1155553318.5851133</v>
      </c>
      <c r="M35" s="201">
        <v>986965946.48752618</v>
      </c>
      <c r="N35" s="201">
        <v>1209433379.4399037</v>
      </c>
      <c r="O35" s="201">
        <v>1194061957.6820722</v>
      </c>
      <c r="P35" s="155"/>
      <c r="S35" s="131"/>
      <c r="T35" s="131"/>
      <c r="U35" s="131"/>
      <c r="Y35" s="124"/>
      <c r="Z35" s="124"/>
      <c r="AA35" s="124"/>
    </row>
    <row r="36" spans="2:27" x14ac:dyDescent="0.25">
      <c r="B36" s="128" t="s">
        <v>79</v>
      </c>
      <c r="C36" s="128"/>
      <c r="D36" s="201">
        <v>48595042.284007378</v>
      </c>
      <c r="E36" s="201">
        <v>105571952.35626242</v>
      </c>
      <c r="F36" s="201">
        <v>98347724.038060784</v>
      </c>
      <c r="G36" s="201">
        <v>52605699.002755396</v>
      </c>
      <c r="H36" s="201">
        <v>94021784.576762989</v>
      </c>
      <c r="I36" s="201">
        <v>95313286.074231118</v>
      </c>
      <c r="J36" s="201">
        <v>44668495.628297605</v>
      </c>
      <c r="K36" s="201">
        <v>93773137.03387925</v>
      </c>
      <c r="L36" s="201">
        <v>94475940.811331272</v>
      </c>
      <c r="M36" s="201">
        <v>45984698.323086411</v>
      </c>
      <c r="N36" s="201">
        <v>130207563.20823532</v>
      </c>
      <c r="O36" s="201">
        <v>130622671.52297761</v>
      </c>
      <c r="P36" s="155"/>
      <c r="S36" s="131"/>
      <c r="T36" s="131"/>
      <c r="U36" s="131"/>
      <c r="Y36" s="124"/>
      <c r="Z36" s="124"/>
      <c r="AA36" s="124"/>
    </row>
    <row r="37" spans="2:27" x14ac:dyDescent="0.25">
      <c r="B37" s="128" t="s">
        <v>101</v>
      </c>
      <c r="C37" s="128"/>
      <c r="D37" s="202">
        <v>798096270.01054108</v>
      </c>
      <c r="E37" s="202">
        <v>1053981961.3332888</v>
      </c>
      <c r="F37" s="202">
        <v>1045051682.0482962</v>
      </c>
      <c r="G37" s="202">
        <v>652916395.79018843</v>
      </c>
      <c r="H37" s="202">
        <v>928185137.2619803</v>
      </c>
      <c r="I37" s="202">
        <v>945030454.4112587</v>
      </c>
      <c r="J37" s="202">
        <v>603280232.02299094</v>
      </c>
      <c r="K37" s="202">
        <v>918736087.19100022</v>
      </c>
      <c r="L37" s="202">
        <v>942682068.60237241</v>
      </c>
      <c r="M37" s="202">
        <v>655322070.03195119</v>
      </c>
      <c r="N37" s="202">
        <v>1038845025.6067388</v>
      </c>
      <c r="O37" s="202">
        <v>1065475015.5095007</v>
      </c>
      <c r="P37" s="155"/>
      <c r="S37" s="131"/>
      <c r="T37" s="131"/>
      <c r="U37" s="131"/>
      <c r="Y37" s="124"/>
      <c r="Z37" s="124"/>
      <c r="AA37" s="124"/>
    </row>
    <row r="38" spans="2:27" x14ac:dyDescent="0.25">
      <c r="B38" s="128" t="s">
        <v>38</v>
      </c>
      <c r="C38" s="128"/>
      <c r="D38" s="201">
        <v>455416352.67457908</v>
      </c>
      <c r="E38" s="201">
        <v>711097159.84896672</v>
      </c>
      <c r="F38" s="201">
        <v>637013050.84000015</v>
      </c>
      <c r="G38" s="201">
        <v>906926533.08177269</v>
      </c>
      <c r="H38" s="201">
        <v>1186798462.8439691</v>
      </c>
      <c r="I38" s="201">
        <v>1399206540.3677034</v>
      </c>
      <c r="J38" s="201">
        <v>918330869.22196603</v>
      </c>
      <c r="K38" s="201">
        <v>1369017781.8828492</v>
      </c>
      <c r="L38" s="201">
        <v>1421667038.3890905</v>
      </c>
      <c r="M38" s="201">
        <v>830725646.4800477</v>
      </c>
      <c r="N38" s="201">
        <v>1220169676.8471792</v>
      </c>
      <c r="O38" s="201">
        <v>1241409340.0526118</v>
      </c>
      <c r="P38" s="155"/>
      <c r="S38" s="131"/>
      <c r="T38" s="131"/>
      <c r="U38" s="131"/>
      <c r="Y38" s="124"/>
      <c r="Z38" s="124"/>
      <c r="AA38" s="124"/>
    </row>
    <row r="39" spans="2:27" x14ac:dyDescent="0.25">
      <c r="D39" s="133"/>
      <c r="E39" s="133"/>
      <c r="F39" s="133"/>
      <c r="G39" s="133"/>
      <c r="H39" s="133"/>
      <c r="I39" s="133"/>
      <c r="P39" s="155"/>
      <c r="S39" s="131"/>
      <c r="T39" s="131"/>
      <c r="U39" s="131"/>
      <c r="Y39" s="124"/>
      <c r="Z39" s="124"/>
      <c r="AA39" s="124"/>
    </row>
    <row r="40" spans="2:27" ht="13" x14ac:dyDescent="0.3">
      <c r="B40" s="127"/>
      <c r="C40" s="127"/>
      <c r="D40" s="215" t="s">
        <v>146</v>
      </c>
      <c r="E40" s="215"/>
      <c r="F40" s="215"/>
      <c r="G40" s="215" t="s">
        <v>147</v>
      </c>
      <c r="H40" s="215"/>
      <c r="I40" s="215"/>
      <c r="J40" s="215" t="s">
        <v>148</v>
      </c>
      <c r="K40" s="215"/>
      <c r="L40" s="215"/>
      <c r="M40" s="215" t="s">
        <v>149</v>
      </c>
      <c r="N40" s="215"/>
      <c r="O40" s="215"/>
      <c r="P40" s="155"/>
      <c r="S40" s="131"/>
      <c r="T40" s="131"/>
      <c r="U40" s="131"/>
      <c r="Y40" s="124"/>
      <c r="Z40" s="124"/>
      <c r="AA40" s="124"/>
    </row>
    <row r="41" spans="2:27" ht="13" x14ac:dyDescent="0.3">
      <c r="B41" s="127" t="s">
        <v>81</v>
      </c>
      <c r="C41" s="127"/>
      <c r="D41" s="129" t="s">
        <v>91</v>
      </c>
      <c r="E41" s="129" t="s">
        <v>92</v>
      </c>
      <c r="F41" s="129" t="s">
        <v>93</v>
      </c>
      <c r="G41" s="129" t="s">
        <v>106</v>
      </c>
      <c r="H41" s="129" t="s">
        <v>143</v>
      </c>
      <c r="I41" s="129" t="s">
        <v>107</v>
      </c>
      <c r="J41" s="129" t="s">
        <v>78</v>
      </c>
      <c r="K41" s="129" t="s">
        <v>108</v>
      </c>
      <c r="L41" s="129" t="s">
        <v>109</v>
      </c>
      <c r="M41" s="129" t="s">
        <v>110</v>
      </c>
      <c r="N41" s="129" t="s">
        <v>111</v>
      </c>
      <c r="O41" s="129" t="s">
        <v>112</v>
      </c>
      <c r="P41" s="155"/>
      <c r="S41" s="131"/>
      <c r="T41" s="131"/>
      <c r="U41" s="131"/>
      <c r="Y41" s="124"/>
      <c r="Z41" s="124"/>
      <c r="AA41" s="124"/>
    </row>
    <row r="42" spans="2:27" x14ac:dyDescent="0.25">
      <c r="B42" s="128" t="s">
        <v>97</v>
      </c>
      <c r="C42" s="128"/>
      <c r="D42" s="201">
        <v>-583074285.75448072</v>
      </c>
      <c r="E42" s="201">
        <v>-731360764.84034252</v>
      </c>
      <c r="F42" s="201">
        <v>-779077264.97431016</v>
      </c>
      <c r="G42" s="201">
        <v>-917815620.17651618</v>
      </c>
      <c r="H42" s="201">
        <v>-1100646282.9961269</v>
      </c>
      <c r="I42" s="201">
        <v>-1020058372.5500923</v>
      </c>
      <c r="J42" s="201">
        <v>-743397847.89989901</v>
      </c>
      <c r="K42" s="201">
        <v>-939265851.90051985</v>
      </c>
      <c r="L42" s="201">
        <v>-995649583.27654338</v>
      </c>
      <c r="M42" s="201">
        <v>-958245336.23637605</v>
      </c>
      <c r="N42" s="201">
        <v>-1226222891.7829869</v>
      </c>
      <c r="O42" s="201">
        <v>-1362642802.7465215</v>
      </c>
      <c r="P42" s="155"/>
      <c r="S42" s="133"/>
      <c r="T42" s="131"/>
      <c r="U42" s="131"/>
      <c r="Y42" s="124"/>
      <c r="Z42" s="124"/>
      <c r="AA42" s="124"/>
    </row>
    <row r="43" spans="2:27" ht="13" x14ac:dyDescent="0.3">
      <c r="B43" s="128" t="s">
        <v>98</v>
      </c>
      <c r="C43" s="128"/>
      <c r="D43" s="201">
        <v>-74989777.303553417</v>
      </c>
      <c r="E43" s="201">
        <v>-93932470.110035181</v>
      </c>
      <c r="F43" s="201">
        <v>-99986369.738071188</v>
      </c>
      <c r="G43" s="201">
        <v>-117436821.06028177</v>
      </c>
      <c r="H43" s="201">
        <v>-140736775.35349354</v>
      </c>
      <c r="I43" s="201">
        <v>-130831221.53462712</v>
      </c>
      <c r="J43" s="201">
        <v>-95647338.59849453</v>
      </c>
      <c r="K43" s="201">
        <v>-120368292.15371686</v>
      </c>
      <c r="L43" s="201">
        <v>-127812765.08970425</v>
      </c>
      <c r="M43" s="201">
        <v>-123176416.95998624</v>
      </c>
      <c r="N43" s="201">
        <v>-156562429.72966006</v>
      </c>
      <c r="O43" s="201">
        <v>-174347660.2046001</v>
      </c>
      <c r="P43" s="155"/>
      <c r="S43" s="131"/>
      <c r="T43" s="131"/>
      <c r="U43" s="131"/>
      <c r="Y43" s="154"/>
      <c r="Z43" s="124"/>
      <c r="AA43" s="124"/>
    </row>
    <row r="44" spans="2:27" x14ac:dyDescent="0.25">
      <c r="B44" s="128" t="s">
        <v>90</v>
      </c>
      <c r="C44" s="128"/>
      <c r="D44" s="201">
        <v>-24903616.802477516</v>
      </c>
      <c r="E44" s="201">
        <v>8306193.0907256696</v>
      </c>
      <c r="F44" s="201">
        <v>-68774195.777095184</v>
      </c>
      <c r="G44" s="201">
        <v>104985512.06677863</v>
      </c>
      <c r="H44" s="201">
        <v>132652784.13924606</v>
      </c>
      <c r="I44" s="201">
        <v>184052429.56468689</v>
      </c>
      <c r="J44" s="201">
        <v>33372283.790244989</v>
      </c>
      <c r="K44" s="201">
        <v>73871131.427701399</v>
      </c>
      <c r="L44" s="201">
        <v>161149273.24234873</v>
      </c>
      <c r="M44" s="201">
        <v>35802152.825166449</v>
      </c>
      <c r="N44" s="201">
        <v>128466566.06914526</v>
      </c>
      <c r="O44" s="201">
        <v>168552489.09815148</v>
      </c>
      <c r="P44" s="155"/>
      <c r="S44" s="124"/>
      <c r="V44" s="124"/>
      <c r="W44" s="124"/>
      <c r="X44" s="124"/>
      <c r="Y44" s="124"/>
      <c r="Z44" s="124"/>
      <c r="AA44" s="124"/>
    </row>
    <row r="45" spans="2:27" x14ac:dyDescent="0.25">
      <c r="B45" s="128" t="s">
        <v>94</v>
      </c>
      <c r="C45" s="128"/>
      <c r="D45" s="201">
        <v>-7977065.6352008628</v>
      </c>
      <c r="E45" s="201">
        <v>-9121651.382484654</v>
      </c>
      <c r="F45" s="201">
        <v>-9124941.4580989052</v>
      </c>
      <c r="G45" s="201">
        <v>4001630.9649384608</v>
      </c>
      <c r="H45" s="201">
        <v>-820208.70566342736</v>
      </c>
      <c r="I45" s="201">
        <v>-830527.27258473553</v>
      </c>
      <c r="J45" s="201">
        <v>-2124657.2861117222</v>
      </c>
      <c r="K45" s="201">
        <v>-830539.4388196494</v>
      </c>
      <c r="L45" s="201">
        <v>-849186.13556849898</v>
      </c>
      <c r="M45" s="201">
        <v>-1891402.2219912796</v>
      </c>
      <c r="N45" s="201">
        <v>3265696.9371195268</v>
      </c>
      <c r="O45" s="201">
        <v>3253118.4026878313</v>
      </c>
      <c r="P45" s="155"/>
      <c r="S45" s="124"/>
      <c r="V45" s="124"/>
      <c r="W45" s="124"/>
      <c r="X45" s="124"/>
      <c r="Y45" s="124"/>
      <c r="Z45" s="124"/>
      <c r="AA45" s="124"/>
    </row>
    <row r="46" spans="2:27" x14ac:dyDescent="0.25">
      <c r="B46" s="128" t="s">
        <v>86</v>
      </c>
      <c r="C46" s="128"/>
      <c r="D46" s="201">
        <v>29460922.180528816</v>
      </c>
      <c r="E46" s="201">
        <v>84617954.46543856</v>
      </c>
      <c r="F46" s="201">
        <v>107287427.06601155</v>
      </c>
      <c r="G46" s="201">
        <v>57397218.104128756</v>
      </c>
      <c r="H46" s="201">
        <v>103181897.13222052</v>
      </c>
      <c r="I46" s="201">
        <v>68814196.104302257</v>
      </c>
      <c r="J46" s="201">
        <v>105566150.53336525</v>
      </c>
      <c r="K46" s="201">
        <v>156217781.44784367</v>
      </c>
      <c r="L46" s="201">
        <v>70960128.691371933</v>
      </c>
      <c r="M46" s="201">
        <v>132353250.9632583</v>
      </c>
      <c r="N46" s="201">
        <v>144002191.10406631</v>
      </c>
      <c r="O46" s="201">
        <v>71564897.923096642</v>
      </c>
      <c r="P46" s="155"/>
      <c r="S46" s="124"/>
      <c r="V46" s="124"/>
      <c r="W46" s="124"/>
      <c r="X46" s="124"/>
      <c r="Y46" s="124"/>
      <c r="Z46" s="124"/>
      <c r="AA46" s="124"/>
    </row>
    <row r="47" spans="2:27" x14ac:dyDescent="0.25">
      <c r="B47" s="128" t="s">
        <v>79</v>
      </c>
      <c r="C47" s="128"/>
      <c r="D47" s="201">
        <v>4747429.6315776818</v>
      </c>
      <c r="E47" s="201">
        <v>5299961.5944080371</v>
      </c>
      <c r="F47" s="201">
        <v>13356339.84889454</v>
      </c>
      <c r="G47" s="201">
        <v>6367757.6051533986</v>
      </c>
      <c r="H47" s="201">
        <v>10214758.067411099</v>
      </c>
      <c r="I47" s="201">
        <v>19313385.018707555</v>
      </c>
      <c r="J47" s="201">
        <v>7143780.7259319667</v>
      </c>
      <c r="K47" s="201">
        <v>10549529.194981819</v>
      </c>
      <c r="L47" s="201">
        <v>18733955.829928115</v>
      </c>
      <c r="M47" s="201">
        <v>8779174.3271254096</v>
      </c>
      <c r="N47" s="201">
        <v>10499221.676432915</v>
      </c>
      <c r="O47" s="201">
        <v>19084968.387300398</v>
      </c>
      <c r="P47" s="155"/>
      <c r="S47" s="124"/>
      <c r="V47" s="124"/>
      <c r="W47" s="124"/>
      <c r="X47" s="124"/>
      <c r="Y47" s="124"/>
      <c r="Z47" s="124"/>
      <c r="AA47" s="124"/>
    </row>
    <row r="48" spans="2:27" x14ac:dyDescent="0.25">
      <c r="B48" s="128" t="s">
        <v>101</v>
      </c>
      <c r="C48" s="128"/>
      <c r="D48" s="202">
        <v>895599802.09389257</v>
      </c>
      <c r="E48" s="202">
        <v>1077647350.4954331</v>
      </c>
      <c r="F48" s="202">
        <v>1065732533.523703</v>
      </c>
      <c r="G48" s="202">
        <v>981606396.54391909</v>
      </c>
      <c r="H48" s="202">
        <v>1167193229.2535768</v>
      </c>
      <c r="I48" s="202">
        <v>1245605438.3846774</v>
      </c>
      <c r="J48" s="202">
        <v>860979962.0871253</v>
      </c>
      <c r="K48" s="202">
        <v>1080974328.1139796</v>
      </c>
      <c r="L48" s="202">
        <v>1253856092.9357615</v>
      </c>
      <c r="M48" s="202">
        <v>895297980.89602911</v>
      </c>
      <c r="N48" s="202">
        <v>1219703953.7895255</v>
      </c>
      <c r="O48" s="202">
        <v>1365142392.6079071</v>
      </c>
      <c r="P48" s="155"/>
      <c r="S48" s="124"/>
      <c r="V48" s="124"/>
      <c r="W48" s="124"/>
      <c r="X48" s="124"/>
      <c r="Y48" s="124"/>
      <c r="Z48" s="124"/>
      <c r="AA48" s="124"/>
    </row>
    <row r="49" spans="2:29" x14ac:dyDescent="0.25">
      <c r="B49" s="128" t="s">
        <v>38</v>
      </c>
      <c r="C49" s="128"/>
      <c r="D49" s="201">
        <v>238863408.41028655</v>
      </c>
      <c r="E49" s="201">
        <v>341456573.31314301</v>
      </c>
      <c r="F49" s="201">
        <v>229413528.49103367</v>
      </c>
      <c r="G49" s="201">
        <v>119106074.04812038</v>
      </c>
      <c r="H49" s="201">
        <v>171039401.53717053</v>
      </c>
      <c r="I49" s="201">
        <v>366065327.71507001</v>
      </c>
      <c r="J49" s="201">
        <v>165892333.35216224</v>
      </c>
      <c r="K49" s="201">
        <v>261148086.69145012</v>
      </c>
      <c r="L49" s="201">
        <v>380387916.19759405</v>
      </c>
      <c r="M49" s="201">
        <v>-11080596.406774282</v>
      </c>
      <c r="N49" s="201">
        <v>123152308.0636425</v>
      </c>
      <c r="O49" s="201">
        <v>90607403.46802187</v>
      </c>
      <c r="P49" s="155"/>
      <c r="S49" s="124"/>
      <c r="V49" s="124"/>
      <c r="W49" s="124"/>
      <c r="X49" s="124"/>
      <c r="Y49" s="124"/>
      <c r="Z49" s="124"/>
      <c r="AA49" s="124"/>
    </row>
    <row r="50" spans="2:29" x14ac:dyDescent="0.25">
      <c r="D50" s="133"/>
      <c r="E50" s="131"/>
      <c r="F50" s="131"/>
      <c r="G50" s="131"/>
      <c r="H50" s="131"/>
      <c r="I50" s="131"/>
      <c r="P50" s="155"/>
      <c r="Q50" s="125"/>
      <c r="R50" s="125"/>
      <c r="S50" s="125"/>
      <c r="T50" s="125"/>
      <c r="U50" s="125"/>
      <c r="V50" s="125"/>
      <c r="W50" s="125"/>
      <c r="X50" s="125"/>
      <c r="Y50" s="125"/>
      <c r="Z50" s="124"/>
      <c r="AA50" s="124"/>
    </row>
    <row r="51" spans="2:29" ht="13" x14ac:dyDescent="0.3">
      <c r="B51" s="127"/>
      <c r="C51" s="127"/>
      <c r="D51" s="215" t="s">
        <v>146</v>
      </c>
      <c r="E51" s="215"/>
      <c r="F51" s="215"/>
      <c r="G51" s="215" t="s">
        <v>147</v>
      </c>
      <c r="H51" s="215"/>
      <c r="I51" s="215"/>
      <c r="J51" s="215" t="s">
        <v>148</v>
      </c>
      <c r="K51" s="215"/>
      <c r="L51" s="215"/>
      <c r="M51" s="215" t="s">
        <v>149</v>
      </c>
      <c r="N51" s="215"/>
      <c r="O51" s="215"/>
      <c r="P51" s="155"/>
      <c r="S51" s="124"/>
      <c r="V51" s="124"/>
      <c r="W51" s="124"/>
      <c r="X51" s="124"/>
      <c r="Y51" s="124"/>
      <c r="Z51" s="124"/>
      <c r="AA51" s="124"/>
    </row>
    <row r="52" spans="2:29" ht="13" x14ac:dyDescent="0.3">
      <c r="B52" s="127" t="s">
        <v>82</v>
      </c>
      <c r="C52" s="127"/>
      <c r="D52" s="129" t="s">
        <v>91</v>
      </c>
      <c r="E52" s="129" t="s">
        <v>92</v>
      </c>
      <c r="F52" s="129" t="s">
        <v>93</v>
      </c>
      <c r="G52" s="129" t="s">
        <v>106</v>
      </c>
      <c r="H52" s="129" t="s">
        <v>143</v>
      </c>
      <c r="I52" s="129" t="s">
        <v>107</v>
      </c>
      <c r="J52" s="129" t="s">
        <v>78</v>
      </c>
      <c r="K52" s="129" t="s">
        <v>108</v>
      </c>
      <c r="L52" s="129" t="s">
        <v>109</v>
      </c>
      <c r="M52" s="129" t="s">
        <v>110</v>
      </c>
      <c r="N52" s="129" t="s">
        <v>111</v>
      </c>
      <c r="O52" s="129" t="s">
        <v>112</v>
      </c>
      <c r="P52" s="155"/>
      <c r="S52" s="124"/>
      <c r="V52" s="124"/>
      <c r="W52" s="124"/>
      <c r="X52" s="124"/>
      <c r="Y52" s="124"/>
      <c r="Z52" s="124"/>
      <c r="AA52" s="124"/>
    </row>
    <row r="53" spans="2:29" x14ac:dyDescent="0.25">
      <c r="B53" s="128" t="s">
        <v>97</v>
      </c>
      <c r="C53" s="128"/>
      <c r="D53" s="201">
        <v>-583074285.75448072</v>
      </c>
      <c r="E53" s="201">
        <v>-761414041.11169815</v>
      </c>
      <c r="F53" s="201">
        <v>-779077264.97431016</v>
      </c>
      <c r="G53" s="201">
        <v>-917815620.17651618</v>
      </c>
      <c r="H53" s="201">
        <v>-1154074329.7007592</v>
      </c>
      <c r="I53" s="201">
        <v>-1020058372.5500923</v>
      </c>
      <c r="J53" s="201">
        <v>-743397847.89989901</v>
      </c>
      <c r="K53" s="201">
        <v>-982969034.26159847</v>
      </c>
      <c r="L53" s="201">
        <v>-995649583.27654338</v>
      </c>
      <c r="M53" s="201">
        <v>-958245336.23637605</v>
      </c>
      <c r="N53" s="201">
        <v>-1316525250.5170221</v>
      </c>
      <c r="O53" s="201">
        <v>-1362642802.7465215</v>
      </c>
      <c r="P53" s="155"/>
      <c r="S53" s="124"/>
      <c r="V53" s="124"/>
      <c r="W53" s="124"/>
      <c r="X53" s="124"/>
      <c r="Y53" s="124"/>
      <c r="Z53" s="124"/>
      <c r="AA53" s="124"/>
    </row>
    <row r="54" spans="2:29" x14ac:dyDescent="0.25">
      <c r="B54" s="128" t="s">
        <v>98</v>
      </c>
      <c r="C54" s="128"/>
      <c r="D54" s="201">
        <v>-74989777.303553417</v>
      </c>
      <c r="E54" s="201">
        <v>-98076117.652487293</v>
      </c>
      <c r="F54" s="201">
        <v>-99986369.738071188</v>
      </c>
      <c r="G54" s="201">
        <v>-117436821.06028177</v>
      </c>
      <c r="H54" s="201">
        <v>-148103259.87340841</v>
      </c>
      <c r="I54" s="201">
        <v>-130831221.53462712</v>
      </c>
      <c r="J54" s="201">
        <v>-95647338.59849453</v>
      </c>
      <c r="K54" s="201">
        <v>-126247313.45326428</v>
      </c>
      <c r="L54" s="201">
        <v>-127812765.08970425</v>
      </c>
      <c r="M54" s="201">
        <v>-123176416.95998624</v>
      </c>
      <c r="N54" s="201">
        <v>-168710046.0293273</v>
      </c>
      <c r="O54" s="201">
        <v>-174347660.2046001</v>
      </c>
      <c r="P54" s="155"/>
      <c r="S54" s="124"/>
      <c r="V54" s="124"/>
      <c r="W54" s="124"/>
      <c r="X54" s="124"/>
      <c r="Y54" s="124"/>
      <c r="Z54" s="124"/>
      <c r="AA54" s="124"/>
    </row>
    <row r="55" spans="2:29" x14ac:dyDescent="0.25">
      <c r="B55" s="128" t="s">
        <v>90</v>
      </c>
      <c r="C55" s="128"/>
      <c r="D55" s="201">
        <v>61840165.745859921</v>
      </c>
      <c r="E55" s="201">
        <v>87483122.3330006</v>
      </c>
      <c r="F55" s="201">
        <v>45139356.210221387</v>
      </c>
      <c r="G55" s="201">
        <v>153503091.71023858</v>
      </c>
      <c r="H55" s="201">
        <v>173162870.597018</v>
      </c>
      <c r="I55" s="201">
        <v>196315250.70926538</v>
      </c>
      <c r="J55" s="201">
        <v>110016234.89195623</v>
      </c>
      <c r="K55" s="201">
        <v>151340516.94408789</v>
      </c>
      <c r="L55" s="201">
        <v>181714988.99053487</v>
      </c>
      <c r="M55" s="201">
        <v>108680668.90271215</v>
      </c>
      <c r="N55" s="201">
        <v>168536649.51236603</v>
      </c>
      <c r="O55" s="201">
        <v>186741667.78716305</v>
      </c>
      <c r="P55" s="155"/>
      <c r="S55" s="124"/>
      <c r="V55" s="124"/>
      <c r="W55" s="124"/>
      <c r="X55" s="124"/>
      <c r="Y55" s="124"/>
      <c r="Z55" s="124"/>
      <c r="AA55" s="124"/>
    </row>
    <row r="56" spans="2:29" x14ac:dyDescent="0.25">
      <c r="B56" s="128" t="s">
        <v>94</v>
      </c>
      <c r="C56" s="128"/>
      <c r="D56" s="201">
        <v>22164817.416961189</v>
      </c>
      <c r="E56" s="201">
        <v>24028542.624588374</v>
      </c>
      <c r="F56" s="201">
        <v>16379512.150536263</v>
      </c>
      <c r="G56" s="201">
        <v>122514781.36904386</v>
      </c>
      <c r="H56" s="201">
        <v>148667333.5528799</v>
      </c>
      <c r="I56" s="201">
        <v>149836528.87930569</v>
      </c>
      <c r="J56" s="201">
        <v>119083123.47304128</v>
      </c>
      <c r="K56" s="201">
        <v>150959525.20994234</v>
      </c>
      <c r="L56" s="201">
        <v>151388567.7692357</v>
      </c>
      <c r="M56" s="201">
        <v>139589360.37687543</v>
      </c>
      <c r="N56" s="201">
        <v>171430098.29502308</v>
      </c>
      <c r="O56" s="201">
        <v>172144995.41441119</v>
      </c>
      <c r="P56" s="155"/>
      <c r="S56" s="124"/>
      <c r="V56" s="124"/>
      <c r="W56" s="124"/>
      <c r="X56" s="124"/>
      <c r="Y56" s="124"/>
      <c r="Z56" s="124"/>
      <c r="AA56" s="124"/>
    </row>
    <row r="57" spans="2:29" x14ac:dyDescent="0.25">
      <c r="B57" s="128" t="s">
        <v>86</v>
      </c>
      <c r="C57" s="128"/>
      <c r="D57" s="201">
        <v>136590461.23215848</v>
      </c>
      <c r="E57" s="201">
        <v>261606906.23113683</v>
      </c>
      <c r="F57" s="201">
        <v>267340126.64739841</v>
      </c>
      <c r="G57" s="201">
        <v>966326640.01303172</v>
      </c>
      <c r="H57" s="201">
        <v>1113934091.8744857</v>
      </c>
      <c r="I57" s="201">
        <v>1097758821.9213722</v>
      </c>
      <c r="J57" s="201">
        <v>898974036.54131901</v>
      </c>
      <c r="K57" s="201">
        <v>1110394888.1555858</v>
      </c>
      <c r="L57" s="201">
        <v>1109444620.9393592</v>
      </c>
      <c r="M57" s="201">
        <v>969143273.15084159</v>
      </c>
      <c r="N57" s="201">
        <v>1154930646.3175449</v>
      </c>
      <c r="O57" s="201">
        <v>1154612348.3195424</v>
      </c>
      <c r="P57" s="155"/>
      <c r="S57" s="124"/>
      <c r="V57" s="124"/>
      <c r="W57" s="124"/>
      <c r="X57" s="124"/>
      <c r="Y57" s="124"/>
      <c r="Z57" s="124"/>
      <c r="AA57" s="124"/>
    </row>
    <row r="58" spans="2:29" x14ac:dyDescent="0.25">
      <c r="B58" s="128" t="s">
        <v>79</v>
      </c>
      <c r="C58" s="128"/>
      <c r="D58" s="201">
        <v>37321510.043222874</v>
      </c>
      <c r="E58" s="201">
        <v>65271314.162934914</v>
      </c>
      <c r="F58" s="201">
        <v>64122249.133241281</v>
      </c>
      <c r="G58" s="201">
        <v>40071355.61909081</v>
      </c>
      <c r="H58" s="201">
        <v>66625540.481732644</v>
      </c>
      <c r="I58" s="201">
        <v>68848778.928150997</v>
      </c>
      <c r="J58" s="201">
        <v>39248463.806244239</v>
      </c>
      <c r="K58" s="201">
        <v>61820736.750250474</v>
      </c>
      <c r="L58" s="201">
        <v>65775735.631545797</v>
      </c>
      <c r="M58" s="201">
        <v>37702622.336835101</v>
      </c>
      <c r="N58" s="201">
        <v>87707340.090459064</v>
      </c>
      <c r="O58" s="201">
        <v>89978183.344173908</v>
      </c>
      <c r="P58" s="155"/>
      <c r="S58" s="124"/>
      <c r="V58" s="124"/>
      <c r="W58" s="124"/>
      <c r="X58" s="124"/>
      <c r="Y58" s="124"/>
      <c r="Z58" s="124"/>
      <c r="AA58" s="124"/>
    </row>
    <row r="59" spans="2:29" x14ac:dyDescent="0.25">
      <c r="B59" s="128" t="s">
        <v>101</v>
      </c>
      <c r="C59" s="128"/>
      <c r="D59" s="202">
        <v>787474297.12433267</v>
      </c>
      <c r="E59" s="202">
        <v>1078821144.0042667</v>
      </c>
      <c r="F59" s="202">
        <v>1073537208.7684177</v>
      </c>
      <c r="G59" s="202">
        <v>705529579.83859825</v>
      </c>
      <c r="H59" s="202">
        <v>1030511883.0399467</v>
      </c>
      <c r="I59" s="202">
        <v>1060181329.4641564</v>
      </c>
      <c r="J59" s="202">
        <v>638195824.92464077</v>
      </c>
      <c r="K59" s="202">
        <v>1033658572.6877086</v>
      </c>
      <c r="L59" s="202">
        <v>1053662034.8301769</v>
      </c>
      <c r="M59" s="202">
        <v>705635094.62659359</v>
      </c>
      <c r="N59" s="202">
        <v>1194029075.2800491</v>
      </c>
      <c r="O59" s="202">
        <v>1212778669.0256705</v>
      </c>
      <c r="P59" s="155"/>
      <c r="S59" s="124"/>
      <c r="V59" s="124"/>
      <c r="W59" s="124"/>
      <c r="X59" s="124"/>
      <c r="Y59" s="124"/>
      <c r="Z59" s="124"/>
      <c r="AA59" s="124"/>
    </row>
    <row r="60" spans="2:29" x14ac:dyDescent="0.25">
      <c r="B60" s="128" t="s">
        <v>38</v>
      </c>
      <c r="C60" s="128"/>
      <c r="D60" s="201">
        <v>387327188.50450087</v>
      </c>
      <c r="E60" s="201">
        <v>657720870.59174204</v>
      </c>
      <c r="F60" s="201">
        <v>587454818.19743371</v>
      </c>
      <c r="G60" s="201">
        <v>952693007.31320524</v>
      </c>
      <c r="H60" s="201">
        <v>1230724129.9718955</v>
      </c>
      <c r="I60" s="201">
        <v>1422051115.8175311</v>
      </c>
      <c r="J60" s="201">
        <v>966472497.13880801</v>
      </c>
      <c r="K60" s="201">
        <v>1398957892.0327122</v>
      </c>
      <c r="L60" s="201">
        <v>1438523599.7946048</v>
      </c>
      <c r="M60" s="201">
        <v>879329266.19749546</v>
      </c>
      <c r="N60" s="201">
        <v>1291398512.9490929</v>
      </c>
      <c r="O60" s="201">
        <v>1279265400.9398394</v>
      </c>
      <c r="P60" s="155"/>
      <c r="Q60" s="125"/>
      <c r="R60" s="125"/>
      <c r="S60" s="125"/>
      <c r="T60" s="125"/>
      <c r="U60" s="125"/>
      <c r="V60" s="125"/>
      <c r="W60" s="125"/>
      <c r="X60" s="125"/>
      <c r="Y60" s="125"/>
      <c r="Z60" s="124"/>
      <c r="AA60" s="124"/>
    </row>
    <row r="61" spans="2:29" x14ac:dyDescent="0.25">
      <c r="S61" s="124"/>
      <c r="V61" s="124"/>
      <c r="W61" s="124"/>
      <c r="X61" s="124"/>
      <c r="Y61" s="124"/>
      <c r="Z61" s="124"/>
      <c r="AA61" s="124"/>
    </row>
    <row r="62" spans="2:29" ht="13" x14ac:dyDescent="0.3">
      <c r="B62" s="126" t="s">
        <v>100</v>
      </c>
      <c r="C62" s="126"/>
      <c r="D62" s="126"/>
      <c r="E62" s="174" t="s">
        <v>109</v>
      </c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</row>
    <row r="63" spans="2:29" ht="13" x14ac:dyDescent="0.3">
      <c r="B63" s="127" t="s">
        <v>96</v>
      </c>
      <c r="C63" s="127"/>
      <c r="D63" s="139">
        <v>1</v>
      </c>
      <c r="E63" s="139">
        <v>0.94428706326723333</v>
      </c>
      <c r="F63" s="139">
        <v>0.89167805785385579</v>
      </c>
      <c r="G63" s="139">
        <v>0.84200005463064764</v>
      </c>
      <c r="H63" s="139">
        <v>0.79508975885802413</v>
      </c>
      <c r="I63" s="139">
        <v>0.75079297342589635</v>
      </c>
      <c r="J63" s="139">
        <v>0.70896409199801358</v>
      </c>
      <c r="K63" s="139">
        <v>0.66946562039472479</v>
      </c>
      <c r="L63" s="139">
        <v>0.63216772464091109</v>
      </c>
      <c r="M63" s="139">
        <v>0.59694780419349491</v>
      </c>
      <c r="N63" s="139">
        <v>0.56369008894569872</v>
      </c>
      <c r="O63" s="139">
        <v>0.53228525868337928</v>
      </c>
      <c r="P63" s="139">
        <v>0.50263008374256779</v>
      </c>
      <c r="Q63" s="139">
        <v>0.47462708568703288</v>
      </c>
      <c r="R63" s="139">
        <v>0.44818421689049381</v>
      </c>
      <c r="S63" s="139">
        <v>0.42321455797024909</v>
      </c>
      <c r="T63" s="139">
        <v>0.39963603207766679</v>
      </c>
      <c r="U63" s="139">
        <v>0.37737113510638981</v>
      </c>
      <c r="V63" s="139">
        <v>0.35634668093143512</v>
      </c>
      <c r="W63" s="139">
        <v>0.33649356084177068</v>
      </c>
      <c r="X63" s="139">
        <v>0.31774651637560969</v>
      </c>
      <c r="Y63" s="139">
        <v>0.30004392481171832</v>
      </c>
      <c r="Z63" s="139">
        <v>0.28332759661163209</v>
      </c>
      <c r="AA63" s="139">
        <v>0.2675425841469613</v>
      </c>
      <c r="AB63" s="139">
        <v>0.25263700108306075</v>
      </c>
      <c r="AC63" s="139">
        <v>0.2385618518253643</v>
      </c>
    </row>
    <row r="64" spans="2:29" x14ac:dyDescent="0.25">
      <c r="S64" s="124"/>
      <c r="V64" s="124"/>
      <c r="W64" s="124"/>
      <c r="X64" s="124"/>
      <c r="Y64" s="124"/>
      <c r="Z64" s="124"/>
      <c r="AA64" s="124"/>
    </row>
    <row r="65" spans="2:29" ht="13" x14ac:dyDescent="0.3">
      <c r="B65" s="127" t="s">
        <v>71</v>
      </c>
      <c r="C65" s="127"/>
      <c r="D65" s="129" t="s">
        <v>151</v>
      </c>
      <c r="E65" s="129" t="s">
        <v>152</v>
      </c>
      <c r="F65" s="129" t="s">
        <v>153</v>
      </c>
      <c r="G65" s="129" t="s">
        <v>154</v>
      </c>
      <c r="H65" s="129" t="s">
        <v>155</v>
      </c>
      <c r="I65" s="129" t="s">
        <v>156</v>
      </c>
      <c r="J65" s="129" t="s">
        <v>157</v>
      </c>
      <c r="K65" s="129" t="s">
        <v>158</v>
      </c>
      <c r="L65" s="129" t="s">
        <v>159</v>
      </c>
      <c r="M65" s="129" t="s">
        <v>160</v>
      </c>
      <c r="N65" s="129" t="s">
        <v>161</v>
      </c>
      <c r="O65" s="129" t="s">
        <v>162</v>
      </c>
      <c r="P65" s="129" t="s">
        <v>163</v>
      </c>
      <c r="Q65" s="129" t="s">
        <v>164</v>
      </c>
      <c r="R65" s="129" t="s">
        <v>165</v>
      </c>
      <c r="S65" s="129" t="s">
        <v>166</v>
      </c>
      <c r="T65" s="129" t="s">
        <v>167</v>
      </c>
      <c r="U65" s="129" t="s">
        <v>168</v>
      </c>
      <c r="V65" s="129" t="s">
        <v>169</v>
      </c>
      <c r="W65" s="129" t="s">
        <v>170</v>
      </c>
      <c r="X65" s="129" t="s">
        <v>171</v>
      </c>
      <c r="Y65" s="129" t="s">
        <v>172</v>
      </c>
      <c r="Z65" s="129" t="s">
        <v>173</v>
      </c>
      <c r="AA65" s="129" t="s">
        <v>174</v>
      </c>
      <c r="AB65" s="129" t="s">
        <v>175</v>
      </c>
      <c r="AC65" s="129" t="s">
        <v>176</v>
      </c>
    </row>
    <row r="66" spans="2:29" x14ac:dyDescent="0.25">
      <c r="B66" s="128" t="s">
        <v>90</v>
      </c>
      <c r="C66" s="128"/>
      <c r="D66" s="206">
        <v>0</v>
      </c>
      <c r="E66" s="206">
        <v>-53.824362606232299</v>
      </c>
      <c r="F66" s="206">
        <v>-245.53514504481132</v>
      </c>
      <c r="G66" s="206">
        <v>-386.14915416812948</v>
      </c>
      <c r="H66" s="206">
        <v>-35580970.893954292</v>
      </c>
      <c r="I66" s="206">
        <v>71245209.409673452</v>
      </c>
      <c r="J66" s="206">
        <v>71244942.839174867</v>
      </c>
      <c r="K66" s="206">
        <v>84454364.479144335</v>
      </c>
      <c r="L66" s="206">
        <v>84454105.922544956</v>
      </c>
      <c r="M66" s="206">
        <v>117179273.44868398</v>
      </c>
      <c r="N66" s="206">
        <v>120665831.93443447</v>
      </c>
      <c r="O66" s="206">
        <v>120760561.14506657</v>
      </c>
      <c r="P66" s="206">
        <v>123318574.81716402</v>
      </c>
      <c r="Q66" s="206">
        <v>123318287.66777718</v>
      </c>
      <c r="R66" s="206">
        <v>126172608.90972936</v>
      </c>
      <c r="S66" s="206">
        <v>133316541.74831291</v>
      </c>
      <c r="T66" s="206">
        <v>133843092.9925497</v>
      </c>
      <c r="U66" s="206">
        <v>133842802.41677567</v>
      </c>
      <c r="V66" s="206">
        <v>134879162.97450179</v>
      </c>
      <c r="W66" s="206">
        <v>134878864.84120688</v>
      </c>
      <c r="X66" s="206">
        <v>134878560.75779071</v>
      </c>
      <c r="Y66" s="206">
        <v>134878260.71386591</v>
      </c>
      <c r="Z66" s="206">
        <v>134877956.13669956</v>
      </c>
      <c r="AA66" s="206">
        <v>134850669.20099983</v>
      </c>
      <c r="AB66" s="206">
        <v>136242511.62031269</v>
      </c>
      <c r="AC66" s="206">
        <v>136242204.82977125</v>
      </c>
    </row>
    <row r="67" spans="2:29" x14ac:dyDescent="0.25">
      <c r="B67" s="128" t="s">
        <v>94</v>
      </c>
      <c r="C67" s="128"/>
      <c r="D67" s="206">
        <v>0</v>
      </c>
      <c r="E67" s="206">
        <v>-1428.7063267233241</v>
      </c>
      <c r="F67" s="206">
        <v>-1659.6509437074728</v>
      </c>
      <c r="G67" s="206">
        <v>-1732.0629484057085</v>
      </c>
      <c r="H67" s="206">
        <v>-1937.1961061910788</v>
      </c>
      <c r="I67" s="206">
        <v>-2153.4244825377368</v>
      </c>
      <c r="J67" s="206">
        <v>-2408.6515556570216</v>
      </c>
      <c r="K67" s="206">
        <v>-2430.7439211300475</v>
      </c>
      <c r="L67" s="206">
        <v>-2566.6599819278435</v>
      </c>
      <c r="M67" s="206">
        <v>-2860.9552493952365</v>
      </c>
      <c r="N67" s="206">
        <v>121411566.56442703</v>
      </c>
      <c r="O67" s="206">
        <v>121411932.24439974</v>
      </c>
      <c r="P67" s="206">
        <v>133512833.94183579</v>
      </c>
      <c r="Q67" s="206">
        <v>145693631.19426596</v>
      </c>
      <c r="R67" s="206">
        <v>129256159.06993419</v>
      </c>
      <c r="S67" s="206">
        <v>133449827.67488426</v>
      </c>
      <c r="T67" s="206">
        <v>64378839.974289224</v>
      </c>
      <c r="U67" s="206">
        <v>100866743.7032412</v>
      </c>
      <c r="V67" s="206">
        <v>23869994.841869131</v>
      </c>
      <c r="W67" s="206">
        <v>31300925.155701309</v>
      </c>
      <c r="X67" s="206">
        <v>28243499.22414114</v>
      </c>
      <c r="Y67" s="206">
        <v>28243481.521549575</v>
      </c>
      <c r="Z67" s="206">
        <v>21229423.539832011</v>
      </c>
      <c r="AA67" s="206">
        <v>16954257.048767652</v>
      </c>
      <c r="AB67" s="206">
        <v>18005388.155679874</v>
      </c>
      <c r="AC67" s="206">
        <v>18094737.203167733</v>
      </c>
    </row>
    <row r="68" spans="2:29" x14ac:dyDescent="0.25">
      <c r="B68" s="128" t="s">
        <v>86</v>
      </c>
      <c r="C68" s="128"/>
      <c r="D68" s="206">
        <v>0</v>
      </c>
      <c r="E68" s="206">
        <v>-586.40226628895186</v>
      </c>
      <c r="F68" s="206">
        <v>-1103.5755398441884</v>
      </c>
      <c r="G68" s="206">
        <v>-2092.0836039805686</v>
      </c>
      <c r="H68" s="206">
        <v>-36445237.109109059</v>
      </c>
      <c r="I68" s="206">
        <v>-64094266.494227529</v>
      </c>
      <c r="J68" s="206">
        <v>-89048103.854593188</v>
      </c>
      <c r="K68" s="206">
        <v>-104262241.63376591</v>
      </c>
      <c r="L68" s="206">
        <v>-119888586.37164773</v>
      </c>
      <c r="M68" s="206">
        <v>-134627480.7630541</v>
      </c>
      <c r="N68" s="206">
        <v>-169704448.27653348</v>
      </c>
      <c r="O68" s="206">
        <v>-170132911.29551068</v>
      </c>
      <c r="P68" s="206">
        <v>-169633793.59079331</v>
      </c>
      <c r="Q68" s="206">
        <v>-158007326.12666833</v>
      </c>
      <c r="R68" s="206">
        <v>-140600059.54830241</v>
      </c>
      <c r="S68" s="206">
        <v>-124243839.79233889</v>
      </c>
      <c r="T68" s="206">
        <v>-61079023.055315681</v>
      </c>
      <c r="U68" s="206">
        <v>2373939.2837458625</v>
      </c>
      <c r="V68" s="206">
        <v>209191261.95204565</v>
      </c>
      <c r="W68" s="206">
        <v>392315044.20135254</v>
      </c>
      <c r="X68" s="206">
        <v>566306467.7949034</v>
      </c>
      <c r="Y68" s="206">
        <v>725725646.60254145</v>
      </c>
      <c r="Z68" s="206">
        <v>874912328.65420914</v>
      </c>
      <c r="AA68" s="206">
        <v>1035125456.2897483</v>
      </c>
      <c r="AB68" s="206">
        <v>1171207334.5428724</v>
      </c>
      <c r="AC68" s="206">
        <v>1312735856.9470155</v>
      </c>
    </row>
    <row r="69" spans="2:29" x14ac:dyDescent="0.25">
      <c r="B69" s="128" t="s">
        <v>79</v>
      </c>
      <c r="C69" s="128"/>
      <c r="D69" s="206">
        <v>0</v>
      </c>
      <c r="E69" s="206">
        <v>-758.26251180358838</v>
      </c>
      <c r="F69" s="206">
        <v>-1488.5468411858963</v>
      </c>
      <c r="G69" s="206">
        <v>-2112.468881667206</v>
      </c>
      <c r="H69" s="206">
        <v>-6230417.0863954043</v>
      </c>
      <c r="I69" s="206">
        <v>-2405333.3548581544</v>
      </c>
      <c r="J69" s="206">
        <v>-2321214.7653425899</v>
      </c>
      <c r="K69" s="206">
        <v>7645144.0262360126</v>
      </c>
      <c r="L69" s="206">
        <v>7783917.4851491852</v>
      </c>
      <c r="M69" s="206">
        <v>19062247.551708855</v>
      </c>
      <c r="N69" s="206">
        <v>29981978.111363277</v>
      </c>
      <c r="O69" s="206">
        <v>33617838.268726744</v>
      </c>
      <c r="P69" s="206">
        <v>35722352.439877212</v>
      </c>
      <c r="Q69" s="206">
        <v>40224254.42227529</v>
      </c>
      <c r="R69" s="206">
        <v>40506908.073236316</v>
      </c>
      <c r="S69" s="206">
        <v>43807911.371787637</v>
      </c>
      <c r="T69" s="206">
        <v>47561276.999619804</v>
      </c>
      <c r="U69" s="206">
        <v>51426585.759452403</v>
      </c>
      <c r="V69" s="206">
        <v>64419959.998038195</v>
      </c>
      <c r="W69" s="206">
        <v>64377444.373119399</v>
      </c>
      <c r="X69" s="206">
        <v>64116115.021712348</v>
      </c>
      <c r="Y69" s="206">
        <v>61730466.675666153</v>
      </c>
      <c r="Z69" s="206">
        <v>61946602.849413738</v>
      </c>
      <c r="AA69" s="206">
        <v>62011326.2162854</v>
      </c>
      <c r="AB69" s="206">
        <v>63917443.083564967</v>
      </c>
      <c r="AC69" s="206">
        <v>61765342.742465399</v>
      </c>
    </row>
    <row r="70" spans="2:29" x14ac:dyDescent="0.25">
      <c r="B70" s="128" t="s">
        <v>101</v>
      </c>
      <c r="C70" s="128"/>
      <c r="D70" s="206">
        <v>0</v>
      </c>
      <c r="E70" s="206">
        <v>-27873.465533522194</v>
      </c>
      <c r="F70" s="206">
        <v>-32330.072466675767</v>
      </c>
      <c r="G70" s="206">
        <v>-44101.233230412225</v>
      </c>
      <c r="H70" s="206">
        <v>597526952.01618385</v>
      </c>
      <c r="I70" s="206">
        <v>999173901.4744544</v>
      </c>
      <c r="J70" s="206">
        <v>1019290077.6883339</v>
      </c>
      <c r="K70" s="206">
        <v>1035383316.2133405</v>
      </c>
      <c r="L70" s="206">
        <v>1003087082.8199708</v>
      </c>
      <c r="M70" s="206">
        <v>1183929922.4707775</v>
      </c>
      <c r="N70" s="206">
        <v>1607316350.4364529</v>
      </c>
      <c r="O70" s="206">
        <v>1203117787.5850067</v>
      </c>
      <c r="P70" s="206">
        <v>1592158018.6908617</v>
      </c>
      <c r="Q70" s="206">
        <v>1521996293.0059032</v>
      </c>
      <c r="R70" s="206">
        <v>1452272348.782829</v>
      </c>
      <c r="S70" s="206">
        <v>1450860343.7726936</v>
      </c>
      <c r="T70" s="206">
        <v>1348297096.2979167</v>
      </c>
      <c r="U70" s="206">
        <v>1356558159.5157061</v>
      </c>
      <c r="V70" s="206">
        <v>851304936.6358273</v>
      </c>
      <c r="W70" s="206">
        <v>791545628.19155252</v>
      </c>
      <c r="X70" s="206">
        <v>771344513.38813961</v>
      </c>
      <c r="Y70" s="206">
        <v>788178912.25330424</v>
      </c>
      <c r="Z70" s="206">
        <v>790373859.92741001</v>
      </c>
      <c r="AA70" s="206">
        <v>734340462.66601992</v>
      </c>
      <c r="AB70" s="206">
        <v>765058152.50240934</v>
      </c>
      <c r="AC70" s="206">
        <v>762650642.83294666</v>
      </c>
    </row>
    <row r="71" spans="2:29" x14ac:dyDescent="0.25">
      <c r="B71" s="125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125"/>
      <c r="AC71" s="125"/>
    </row>
    <row r="72" spans="2:29" ht="13" x14ac:dyDescent="0.3">
      <c r="B72" s="127" t="s">
        <v>72</v>
      </c>
      <c r="C72" s="127"/>
      <c r="D72" s="129" t="s">
        <v>151</v>
      </c>
      <c r="E72" s="129" t="s">
        <v>152</v>
      </c>
      <c r="F72" s="129" t="s">
        <v>153</v>
      </c>
      <c r="G72" s="129" t="s">
        <v>154</v>
      </c>
      <c r="H72" s="129" t="s">
        <v>155</v>
      </c>
      <c r="I72" s="129" t="s">
        <v>156</v>
      </c>
      <c r="J72" s="129" t="s">
        <v>157</v>
      </c>
      <c r="K72" s="129" t="s">
        <v>158</v>
      </c>
      <c r="L72" s="129" t="s">
        <v>159</v>
      </c>
      <c r="M72" s="129" t="s">
        <v>160</v>
      </c>
      <c r="N72" s="129" t="s">
        <v>161</v>
      </c>
      <c r="O72" s="129" t="s">
        <v>162</v>
      </c>
      <c r="P72" s="129" t="s">
        <v>163</v>
      </c>
      <c r="Q72" s="129" t="s">
        <v>164</v>
      </c>
      <c r="R72" s="129" t="s">
        <v>165</v>
      </c>
      <c r="S72" s="129" t="s">
        <v>166</v>
      </c>
      <c r="T72" s="129" t="s">
        <v>167</v>
      </c>
      <c r="U72" s="129" t="s">
        <v>168</v>
      </c>
      <c r="V72" s="129" t="s">
        <v>169</v>
      </c>
      <c r="W72" s="129" t="s">
        <v>170</v>
      </c>
      <c r="X72" s="129" t="s">
        <v>171</v>
      </c>
      <c r="Y72" s="129" t="s">
        <v>172</v>
      </c>
      <c r="Z72" s="129" t="s">
        <v>173</v>
      </c>
      <c r="AA72" s="129" t="s">
        <v>174</v>
      </c>
      <c r="AB72" s="129" t="s">
        <v>175</v>
      </c>
      <c r="AC72" s="129" t="s">
        <v>176</v>
      </c>
    </row>
    <row r="73" spans="2:29" x14ac:dyDescent="0.25">
      <c r="B73" s="128" t="s">
        <v>90</v>
      </c>
      <c r="C73" s="128"/>
      <c r="D73" s="206">
        <v>0</v>
      </c>
      <c r="E73" s="206">
        <v>-33.050047214353164</v>
      </c>
      <c r="F73" s="206">
        <v>-203.36055626443962</v>
      </c>
      <c r="G73" s="206">
        <v>-380.18056773687562</v>
      </c>
      <c r="H73" s="206">
        <v>-532.04271167875822</v>
      </c>
      <c r="I73" s="206">
        <v>110682136.91173875</v>
      </c>
      <c r="J73" s="206">
        <v>110681968.17828485</v>
      </c>
      <c r="K73" s="206">
        <v>147838931.55592468</v>
      </c>
      <c r="L73" s="206">
        <v>147838760.2384713</v>
      </c>
      <c r="M73" s="206">
        <v>167555254.94542518</v>
      </c>
      <c r="N73" s="206">
        <v>167555088.09315884</v>
      </c>
      <c r="O73" s="206">
        <v>167554920.95558763</v>
      </c>
      <c r="P73" s="206">
        <v>167554757.09818032</v>
      </c>
      <c r="Q73" s="206">
        <v>167554593.82646284</v>
      </c>
      <c r="R73" s="206">
        <v>167554428.89467102</v>
      </c>
      <c r="S73" s="206">
        <v>168813793.53339779</v>
      </c>
      <c r="T73" s="206">
        <v>169379147.43816918</v>
      </c>
      <c r="U73" s="206">
        <v>169378983.65909654</v>
      </c>
      <c r="V73" s="206">
        <v>172714222.89140815</v>
      </c>
      <c r="W73" s="206">
        <v>172714067.09488946</v>
      </c>
      <c r="X73" s="206">
        <v>172713913.62332204</v>
      </c>
      <c r="Y73" s="206">
        <v>172713761.50105217</v>
      </c>
      <c r="Z73" s="206">
        <v>172713612.75406396</v>
      </c>
      <c r="AA73" s="206">
        <v>172713464.80301493</v>
      </c>
      <c r="AB73" s="206">
        <v>172713314.73663628</v>
      </c>
      <c r="AC73" s="206">
        <v>172713166.11260259</v>
      </c>
    </row>
    <row r="74" spans="2:29" x14ac:dyDescent="0.25">
      <c r="B74" s="128" t="s">
        <v>94</v>
      </c>
      <c r="C74" s="128"/>
      <c r="D74" s="206">
        <v>0</v>
      </c>
      <c r="E74" s="206">
        <v>-849.85835694051002</v>
      </c>
      <c r="F74" s="206">
        <v>-823.99969326274822</v>
      </c>
      <c r="G74" s="206">
        <v>-850.10169495629827</v>
      </c>
      <c r="H74" s="206">
        <v>-1226.1791508961437</v>
      </c>
      <c r="I74" s="206">
        <v>20235001.944613568</v>
      </c>
      <c r="J74" s="206">
        <v>20235128.849186037</v>
      </c>
      <c r="K74" s="206">
        <v>90921789.783858374</v>
      </c>
      <c r="L74" s="206">
        <v>142168984.1272403</v>
      </c>
      <c r="M74" s="206">
        <v>188520084.61969125</v>
      </c>
      <c r="N74" s="206">
        <v>211976251.75454313</v>
      </c>
      <c r="O74" s="206">
        <v>217415334.15046301</v>
      </c>
      <c r="P74" s="206">
        <v>217415333.14520285</v>
      </c>
      <c r="Q74" s="206">
        <v>205865881.51976395</v>
      </c>
      <c r="R74" s="206">
        <v>193903976.53711644</v>
      </c>
      <c r="S74" s="206">
        <v>192168727.01903635</v>
      </c>
      <c r="T74" s="206">
        <v>230414209.00315425</v>
      </c>
      <c r="U74" s="206">
        <v>249178633.2127102</v>
      </c>
      <c r="V74" s="206">
        <v>178189677.36556697</v>
      </c>
      <c r="W74" s="206">
        <v>183454026.92570081</v>
      </c>
      <c r="X74" s="206">
        <v>181061266.65230682</v>
      </c>
      <c r="Y74" s="206">
        <v>194756467.35579795</v>
      </c>
      <c r="Z74" s="206">
        <v>184142872.78961751</v>
      </c>
      <c r="AA74" s="206">
        <v>181490214.28697363</v>
      </c>
      <c r="AB74" s="206">
        <v>179013089.03830513</v>
      </c>
      <c r="AC74" s="206">
        <v>179704892.64391869</v>
      </c>
    </row>
    <row r="75" spans="2:29" x14ac:dyDescent="0.25">
      <c r="B75" s="128" t="s">
        <v>86</v>
      </c>
      <c r="C75" s="128"/>
      <c r="D75" s="206">
        <v>0</v>
      </c>
      <c r="E75" s="206">
        <v>-3876.2983947119928</v>
      </c>
      <c r="F75" s="206">
        <v>-7660.5800722437561</v>
      </c>
      <c r="G75" s="206">
        <v>-11773.750339114471</v>
      </c>
      <c r="H75" s="206">
        <v>-30956.085861323161</v>
      </c>
      <c r="I75" s="206">
        <v>-7844809.9314161902</v>
      </c>
      <c r="J75" s="206">
        <v>2436083.9662336847</v>
      </c>
      <c r="K75" s="206">
        <v>9762514.8761474341</v>
      </c>
      <c r="L75" s="206">
        <v>7632801.867766045</v>
      </c>
      <c r="M75" s="206">
        <v>6625093.0856113974</v>
      </c>
      <c r="N75" s="206">
        <v>7442584.6371048968</v>
      </c>
      <c r="O75" s="206">
        <v>-1330764.0240379497</v>
      </c>
      <c r="P75" s="206">
        <v>11502383.755666705</v>
      </c>
      <c r="Q75" s="206">
        <v>23290194.527418882</v>
      </c>
      <c r="R75" s="206">
        <v>42019457.093004405</v>
      </c>
      <c r="S75" s="206">
        <v>54760445.628629409</v>
      </c>
      <c r="T75" s="206">
        <v>89270271.855676651</v>
      </c>
      <c r="U75" s="206">
        <v>129201327.18041155</v>
      </c>
      <c r="V75" s="206">
        <v>320422227.24832398</v>
      </c>
      <c r="W75" s="206">
        <v>479590784.56905735</v>
      </c>
      <c r="X75" s="206">
        <v>627516024.2568233</v>
      </c>
      <c r="Y75" s="206">
        <v>746822917.64229965</v>
      </c>
      <c r="Z75" s="206">
        <v>869245165.09455347</v>
      </c>
      <c r="AA75" s="206">
        <v>957588007.83467865</v>
      </c>
      <c r="AB75" s="206">
        <v>1057229153.1699166</v>
      </c>
      <c r="AC75" s="206">
        <v>1155553318.5851126</v>
      </c>
    </row>
    <row r="76" spans="2:29" x14ac:dyDescent="0.25">
      <c r="B76" s="128" t="s">
        <v>79</v>
      </c>
      <c r="C76" s="128"/>
      <c r="D76" s="206">
        <v>0</v>
      </c>
      <c r="E76" s="206">
        <v>-932.95561850802653</v>
      </c>
      <c r="F76" s="206">
        <v>-1850.4923400396442</v>
      </c>
      <c r="G76" s="206">
        <v>-2688.2823943971389</v>
      </c>
      <c r="H76" s="206">
        <v>-3651.9311821330639</v>
      </c>
      <c r="I76" s="206">
        <v>13325466.282928521</v>
      </c>
      <c r="J76" s="206">
        <v>14628592.620471401</v>
      </c>
      <c r="K76" s="206">
        <v>33495963.452735282</v>
      </c>
      <c r="L76" s="206">
        <v>33572992.457815051</v>
      </c>
      <c r="M76" s="206">
        <v>40094875.252690181</v>
      </c>
      <c r="N76" s="206">
        <v>42552229.208580591</v>
      </c>
      <c r="O76" s="206">
        <v>47748597.510819748</v>
      </c>
      <c r="P76" s="206">
        <v>51329136.191148803</v>
      </c>
      <c r="Q76" s="206">
        <v>59601021.998750746</v>
      </c>
      <c r="R76" s="206">
        <v>62817403.033923082</v>
      </c>
      <c r="S76" s="206">
        <v>67321212.577674031</v>
      </c>
      <c r="T76" s="206">
        <v>72282012.136847541</v>
      </c>
      <c r="U76" s="206">
        <v>77300524.442626998</v>
      </c>
      <c r="V76" s="206">
        <v>90602376.599801347</v>
      </c>
      <c r="W76" s="206">
        <v>90768261.53191869</v>
      </c>
      <c r="X76" s="206">
        <v>91720821.421246991</v>
      </c>
      <c r="Y76" s="206">
        <v>89492782.54837729</v>
      </c>
      <c r="Z76" s="206">
        <v>90247457.051315591</v>
      </c>
      <c r="AA76" s="206">
        <v>91999053.801501811</v>
      </c>
      <c r="AB76" s="206">
        <v>96066530.48781018</v>
      </c>
      <c r="AC76" s="206">
        <v>94475940.811331227</v>
      </c>
    </row>
    <row r="77" spans="2:29" x14ac:dyDescent="0.25">
      <c r="B77" s="128" t="s">
        <v>101</v>
      </c>
      <c r="C77" s="128"/>
      <c r="D77" s="206">
        <v>0</v>
      </c>
      <c r="E77" s="206">
        <v>-20610.953729933903</v>
      </c>
      <c r="F77" s="206">
        <v>-21243.153472952286</v>
      </c>
      <c r="G77" s="206">
        <v>-30084.154046574087</v>
      </c>
      <c r="H77" s="206">
        <v>-823319.76358694141</v>
      </c>
      <c r="I77" s="206">
        <v>487188039.16057187</v>
      </c>
      <c r="J77" s="206">
        <v>377915496.53521407</v>
      </c>
      <c r="K77" s="206">
        <v>1404696699.5985632</v>
      </c>
      <c r="L77" s="206">
        <v>1253249612.3124068</v>
      </c>
      <c r="M77" s="206">
        <v>1293853672.4384604</v>
      </c>
      <c r="N77" s="206">
        <v>1201336926.1207724</v>
      </c>
      <c r="O77" s="206">
        <v>1423662193.3247664</v>
      </c>
      <c r="P77" s="206">
        <v>1384491200.5070364</v>
      </c>
      <c r="Q77" s="206">
        <v>1336076231.0043712</v>
      </c>
      <c r="R77" s="206">
        <v>1351016372.5458093</v>
      </c>
      <c r="S77" s="206">
        <v>1357238196.6179814</v>
      </c>
      <c r="T77" s="206">
        <v>1327443267.5053937</v>
      </c>
      <c r="U77" s="206">
        <v>1190693576.3893089</v>
      </c>
      <c r="V77" s="206">
        <v>760219419.42554712</v>
      </c>
      <c r="W77" s="206">
        <v>841590047.67748535</v>
      </c>
      <c r="X77" s="206">
        <v>797954485.44340813</v>
      </c>
      <c r="Y77" s="206">
        <v>889603083.80372202</v>
      </c>
      <c r="Z77" s="206">
        <v>1048016849.7951701</v>
      </c>
      <c r="AA77" s="206">
        <v>1008907894.8864244</v>
      </c>
      <c r="AB77" s="206">
        <v>950912341.79764807</v>
      </c>
      <c r="AC77" s="206">
        <v>942682068.60237229</v>
      </c>
    </row>
    <row r="78" spans="2:29" x14ac:dyDescent="0.25">
      <c r="B78" s="125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125"/>
      <c r="AC78" s="125"/>
    </row>
    <row r="79" spans="2:29" ht="13" x14ac:dyDescent="0.3">
      <c r="B79" s="127" t="s">
        <v>73</v>
      </c>
      <c r="C79" s="127"/>
      <c r="D79" s="129" t="s">
        <v>151</v>
      </c>
      <c r="E79" s="129" t="s">
        <v>152</v>
      </c>
      <c r="F79" s="129" t="s">
        <v>153</v>
      </c>
      <c r="G79" s="129" t="s">
        <v>154</v>
      </c>
      <c r="H79" s="129" t="s">
        <v>155</v>
      </c>
      <c r="I79" s="129" t="s">
        <v>156</v>
      </c>
      <c r="J79" s="129" t="s">
        <v>157</v>
      </c>
      <c r="K79" s="129" t="s">
        <v>158</v>
      </c>
      <c r="L79" s="129" t="s">
        <v>159</v>
      </c>
      <c r="M79" s="129" t="s">
        <v>160</v>
      </c>
      <c r="N79" s="129" t="s">
        <v>161</v>
      </c>
      <c r="O79" s="129" t="s">
        <v>162</v>
      </c>
      <c r="P79" s="129" t="s">
        <v>163</v>
      </c>
      <c r="Q79" s="129" t="s">
        <v>164</v>
      </c>
      <c r="R79" s="129" t="s">
        <v>165</v>
      </c>
      <c r="S79" s="129" t="s">
        <v>166</v>
      </c>
      <c r="T79" s="129" t="s">
        <v>167</v>
      </c>
      <c r="U79" s="129" t="s">
        <v>168</v>
      </c>
      <c r="V79" s="129" t="s">
        <v>169</v>
      </c>
      <c r="W79" s="129" t="s">
        <v>170</v>
      </c>
      <c r="X79" s="129" t="s">
        <v>171</v>
      </c>
      <c r="Y79" s="129" t="s">
        <v>172</v>
      </c>
      <c r="Z79" s="129" t="s">
        <v>173</v>
      </c>
      <c r="AA79" s="129" t="s">
        <v>174</v>
      </c>
      <c r="AB79" s="129" t="s">
        <v>175</v>
      </c>
      <c r="AC79" s="129" t="s">
        <v>176</v>
      </c>
    </row>
    <row r="80" spans="2:29" x14ac:dyDescent="0.25">
      <c r="B80" s="128" t="s">
        <v>90</v>
      </c>
      <c r="C80" s="128"/>
      <c r="D80" s="206">
        <v>0</v>
      </c>
      <c r="E80" s="206">
        <v>-23324581.680830974</v>
      </c>
      <c r="F80" s="206">
        <v>-23324659.256822009</v>
      </c>
      <c r="G80" s="206">
        <v>-28956457.454224341</v>
      </c>
      <c r="H80" s="206">
        <v>-71804756.527036667</v>
      </c>
      <c r="I80" s="206">
        <v>41824187.728005186</v>
      </c>
      <c r="J80" s="206">
        <v>41824107.615062788</v>
      </c>
      <c r="K80" s="206">
        <v>63812800.981045619</v>
      </c>
      <c r="L80" s="206">
        <v>63812720.695744589</v>
      </c>
      <c r="M80" s="206">
        <v>114800024.06978577</v>
      </c>
      <c r="N80" s="206">
        <v>114799945.15317333</v>
      </c>
      <c r="O80" s="206">
        <v>114799864.77809927</v>
      </c>
      <c r="P80" s="206">
        <v>114897758.52109922</v>
      </c>
      <c r="Q80" s="206">
        <v>148626686.69061476</v>
      </c>
      <c r="R80" s="206">
        <v>150546490.50642845</v>
      </c>
      <c r="S80" s="206">
        <v>151752159.79811275</v>
      </c>
      <c r="T80" s="206">
        <v>151179109.70263562</v>
      </c>
      <c r="U80" s="206">
        <v>152386152.7884281</v>
      </c>
      <c r="V80" s="206">
        <v>150796741.82554969</v>
      </c>
      <c r="W80" s="206">
        <v>150796664.76852426</v>
      </c>
      <c r="X80" s="206">
        <v>151217718.30328998</v>
      </c>
      <c r="Y80" s="206">
        <v>146111040.61322901</v>
      </c>
      <c r="Z80" s="206">
        <v>150441146.18871045</v>
      </c>
      <c r="AA80" s="206">
        <v>158304064.88666499</v>
      </c>
      <c r="AB80" s="206">
        <v>160416837.3050085</v>
      </c>
      <c r="AC80" s="206">
        <v>161149273.24234867</v>
      </c>
    </row>
    <row r="81" spans="1:29" x14ac:dyDescent="0.25">
      <c r="B81" s="128" t="s">
        <v>94</v>
      </c>
      <c r="C81" s="128"/>
      <c r="D81" s="206">
        <v>0</v>
      </c>
      <c r="E81" s="206">
        <v>-351.27478753541078</v>
      </c>
      <c r="F81" s="206">
        <v>-442.22594943650404</v>
      </c>
      <c r="G81" s="206">
        <v>-479.27395184025255</v>
      </c>
      <c r="H81" s="206">
        <v>-554.01238917290686</v>
      </c>
      <c r="I81" s="206">
        <v>-575.03459242883196</v>
      </c>
      <c r="J81" s="206">
        <v>-588.50491017679417</v>
      </c>
      <c r="K81" s="206">
        <v>-602.56368820508339</v>
      </c>
      <c r="L81" s="206">
        <v>-617.7357135964653</v>
      </c>
      <c r="M81" s="206">
        <v>-629.07772187614171</v>
      </c>
      <c r="N81" s="206">
        <v>-643.16997409978421</v>
      </c>
      <c r="O81" s="206">
        <v>-674.0425191034202</v>
      </c>
      <c r="P81" s="206">
        <v>-695.1529826206081</v>
      </c>
      <c r="Q81" s="206">
        <v>-715.08732021946344</v>
      </c>
      <c r="R81" s="206">
        <v>-752.28661022137442</v>
      </c>
      <c r="S81" s="206">
        <v>-782.33484383726216</v>
      </c>
      <c r="T81" s="206">
        <v>3002374.9441271997</v>
      </c>
      <c r="U81" s="206">
        <v>5199004.018076201</v>
      </c>
      <c r="V81" s="206">
        <v>3589732.785629455</v>
      </c>
      <c r="W81" s="206">
        <v>1316415.9379385365</v>
      </c>
      <c r="X81" s="206">
        <v>9116368.7706489339</v>
      </c>
      <c r="Y81" s="206">
        <v>8501017.6865703259</v>
      </c>
      <c r="Z81" s="206">
        <v>-3730775.5315357633</v>
      </c>
      <c r="AA81" s="206">
        <v>-2529082.0632090243</v>
      </c>
      <c r="AB81" s="206">
        <v>-1299049.8535348473</v>
      </c>
      <c r="AC81" s="206">
        <v>-849186.13556849933</v>
      </c>
    </row>
    <row r="82" spans="1:29" x14ac:dyDescent="0.25">
      <c r="B82" s="128" t="s">
        <v>86</v>
      </c>
      <c r="C82" s="128"/>
      <c r="D82" s="206">
        <v>0</v>
      </c>
      <c r="E82" s="206">
        <v>-13093069.877242683</v>
      </c>
      <c r="F82" s="206">
        <v>-24978960.944501065</v>
      </c>
      <c r="G82" s="206">
        <v>-35922279.884525485</v>
      </c>
      <c r="H82" s="206">
        <v>-46635141.990362279</v>
      </c>
      <c r="I82" s="206">
        <v>-48805376.651417442</v>
      </c>
      <c r="J82" s="206">
        <v>-48442988.237864472</v>
      </c>
      <c r="K82" s="206">
        <v>-47273055.559356228</v>
      </c>
      <c r="L82" s="206">
        <v>-47607350.277320415</v>
      </c>
      <c r="M82" s="206">
        <v>-45509233.952009372</v>
      </c>
      <c r="N82" s="206">
        <v>-46312097.182004645</v>
      </c>
      <c r="O82" s="206">
        <v>-49496221.744310774</v>
      </c>
      <c r="P82" s="206">
        <v>-49963507.383194648</v>
      </c>
      <c r="Q82" s="206">
        <v>-53340506.626228854</v>
      </c>
      <c r="R82" s="206">
        <v>-56528021.012359709</v>
      </c>
      <c r="S82" s="206">
        <v>-57867048.173762329</v>
      </c>
      <c r="T82" s="206">
        <v>-55269220.141781941</v>
      </c>
      <c r="U82" s="206">
        <v>-53645988.393812612</v>
      </c>
      <c r="V82" s="206">
        <v>-45204909.15119122</v>
      </c>
      <c r="W82" s="206">
        <v>-42568519.116287641</v>
      </c>
      <c r="X82" s="206">
        <v>-35374000.178132817</v>
      </c>
      <c r="Y82" s="206">
        <v>-29237769.767108411</v>
      </c>
      <c r="Z82" s="206">
        <v>-17479200.500656545</v>
      </c>
      <c r="AA82" s="206">
        <v>15726755.563637193</v>
      </c>
      <c r="AB82" s="206">
        <v>45904150.351496398</v>
      </c>
      <c r="AC82" s="206">
        <v>70960128.691371828</v>
      </c>
    </row>
    <row r="83" spans="1:29" x14ac:dyDescent="0.25">
      <c r="B83" s="128" t="s">
        <v>79</v>
      </c>
      <c r="C83" s="128"/>
      <c r="D83" s="206">
        <v>0</v>
      </c>
      <c r="E83" s="206">
        <v>-868661.00094428717</v>
      </c>
      <c r="F83" s="206">
        <v>-884185.1159315228</v>
      </c>
      <c r="G83" s="206">
        <v>-4621336.6824053908</v>
      </c>
      <c r="H83" s="206">
        <v>-10404966.679944046</v>
      </c>
      <c r="I83" s="206">
        <v>-9219320.4226536583</v>
      </c>
      <c r="J83" s="206">
        <v>-9219689.7929455899</v>
      </c>
      <c r="K83" s="206">
        <v>628800.87310945615</v>
      </c>
      <c r="L83" s="206">
        <v>628429.79065509199</v>
      </c>
      <c r="M83" s="206">
        <v>8279874.532111479</v>
      </c>
      <c r="N83" s="206">
        <v>8279506.4424833972</v>
      </c>
      <c r="O83" s="206">
        <v>8279138.633369647</v>
      </c>
      <c r="P83" s="206">
        <v>10219818.518203888</v>
      </c>
      <c r="Q83" s="206">
        <v>12493944.363429308</v>
      </c>
      <c r="R83" s="206">
        <v>14260015.614638949</v>
      </c>
      <c r="S83" s="206">
        <v>16660639.251828838</v>
      </c>
      <c r="T83" s="206">
        <v>16307446.521583045</v>
      </c>
      <c r="U83" s="206">
        <v>16444179.404966144</v>
      </c>
      <c r="V83" s="206">
        <v>18831522.568479568</v>
      </c>
      <c r="W83" s="206">
        <v>19011973.970352184</v>
      </c>
      <c r="X83" s="206">
        <v>18874046.56252386</v>
      </c>
      <c r="Y83" s="206">
        <v>19023757.37937969</v>
      </c>
      <c r="Z83" s="206">
        <v>18001636.358275026</v>
      </c>
      <c r="AA83" s="206">
        <v>18687560.96534067</v>
      </c>
      <c r="AB83" s="206">
        <v>19151998.975288726</v>
      </c>
      <c r="AC83" s="206">
        <v>18733955.829928104</v>
      </c>
    </row>
    <row r="84" spans="1:29" x14ac:dyDescent="0.25">
      <c r="B84" s="128" t="s">
        <v>101</v>
      </c>
      <c r="C84" s="128"/>
      <c r="D84" s="206">
        <v>0</v>
      </c>
      <c r="E84" s="206">
        <v>267020603.39943346</v>
      </c>
      <c r="F84" s="206">
        <v>264766781.89019701</v>
      </c>
      <c r="G84" s="206">
        <v>262698945.95203167</v>
      </c>
      <c r="H84" s="206">
        <v>428593199.69952977</v>
      </c>
      <c r="I84" s="206">
        <v>965357690.76544535</v>
      </c>
      <c r="J84" s="206">
        <v>965044153.52265155</v>
      </c>
      <c r="K84" s="206">
        <v>964849839.11793518</v>
      </c>
      <c r="L84" s="206">
        <v>964377152.13819575</v>
      </c>
      <c r="M84" s="206">
        <v>964427037.27534878</v>
      </c>
      <c r="N84" s="206">
        <v>964038561.2315104</v>
      </c>
      <c r="O84" s="206">
        <v>963522152.97752309</v>
      </c>
      <c r="P84" s="206">
        <v>976891377.85726285</v>
      </c>
      <c r="Q84" s="206">
        <v>1027846046.993933</v>
      </c>
      <c r="R84" s="206">
        <v>1027452580.6917142</v>
      </c>
      <c r="S84" s="206">
        <v>1151684037.9586232</v>
      </c>
      <c r="T84" s="206">
        <v>1369333165.5391181</v>
      </c>
      <c r="U84" s="206">
        <v>1359283281.6287591</v>
      </c>
      <c r="V84" s="206">
        <v>1383457672.6238611</v>
      </c>
      <c r="W84" s="206">
        <v>1379804832.1153064</v>
      </c>
      <c r="X84" s="206">
        <v>1344807929.2602527</v>
      </c>
      <c r="Y84" s="206">
        <v>1316882243.190484</v>
      </c>
      <c r="Z84" s="206">
        <v>1289064162.5582733</v>
      </c>
      <c r="AA84" s="206">
        <v>1238762641.2290888</v>
      </c>
      <c r="AB84" s="206">
        <v>1253991381.1233697</v>
      </c>
      <c r="AC84" s="206">
        <v>1253856092.9357615</v>
      </c>
    </row>
    <row r="85" spans="1:29" x14ac:dyDescent="0.25"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  <c r="Y85" s="125"/>
      <c r="Z85" s="125"/>
      <c r="AA85" s="125"/>
      <c r="AB85" s="125"/>
      <c r="AC85" s="125"/>
    </row>
    <row r="86" spans="1:29" ht="13" x14ac:dyDescent="0.3">
      <c r="B86" s="127" t="s">
        <v>80</v>
      </c>
      <c r="C86" s="127"/>
      <c r="D86" s="129" t="s">
        <v>151</v>
      </c>
      <c r="E86" s="129" t="s">
        <v>152</v>
      </c>
      <c r="F86" s="129" t="s">
        <v>153</v>
      </c>
      <c r="G86" s="129" t="s">
        <v>154</v>
      </c>
      <c r="H86" s="129" t="s">
        <v>155</v>
      </c>
      <c r="I86" s="129" t="s">
        <v>156</v>
      </c>
      <c r="J86" s="129" t="s">
        <v>157</v>
      </c>
      <c r="K86" s="129" t="s">
        <v>158</v>
      </c>
      <c r="L86" s="129" t="s">
        <v>159</v>
      </c>
      <c r="M86" s="129" t="s">
        <v>160</v>
      </c>
      <c r="N86" s="129" t="s">
        <v>161</v>
      </c>
      <c r="O86" s="129" t="s">
        <v>162</v>
      </c>
      <c r="P86" s="129" t="s">
        <v>163</v>
      </c>
      <c r="Q86" s="129" t="s">
        <v>164</v>
      </c>
      <c r="R86" s="129" t="s">
        <v>165</v>
      </c>
      <c r="S86" s="129" t="s">
        <v>166</v>
      </c>
      <c r="T86" s="129" t="s">
        <v>167</v>
      </c>
      <c r="U86" s="129" t="s">
        <v>168</v>
      </c>
      <c r="V86" s="129" t="s">
        <v>169</v>
      </c>
      <c r="W86" s="129" t="s">
        <v>170</v>
      </c>
      <c r="X86" s="129" t="s">
        <v>171</v>
      </c>
      <c r="Y86" s="129" t="s">
        <v>172</v>
      </c>
      <c r="Z86" s="129" t="s">
        <v>173</v>
      </c>
      <c r="AA86" s="129" t="s">
        <v>174</v>
      </c>
      <c r="AB86" s="129" t="s">
        <v>175</v>
      </c>
      <c r="AC86" s="129" t="s">
        <v>176</v>
      </c>
    </row>
    <row r="87" spans="1:29" x14ac:dyDescent="0.25">
      <c r="B87" s="128" t="s">
        <v>90</v>
      </c>
      <c r="C87" s="128"/>
      <c r="D87" s="206">
        <v>0</v>
      </c>
      <c r="E87" s="206">
        <v>-123.70160528800757</v>
      </c>
      <c r="F87" s="206">
        <v>-499.09806764448086</v>
      </c>
      <c r="G87" s="206">
        <v>-643.92207704095222</v>
      </c>
      <c r="H87" s="206">
        <v>-4832661.9957391238</v>
      </c>
      <c r="I87" s="206">
        <v>111485323.1237179</v>
      </c>
      <c r="J87" s="206">
        <v>111485016.14226606</v>
      </c>
      <c r="K87" s="206">
        <v>125317340.72980057</v>
      </c>
      <c r="L87" s="206">
        <v>125317045.50747316</v>
      </c>
      <c r="M87" s="206">
        <v>150632104.14127856</v>
      </c>
      <c r="N87" s="206">
        <v>153700238.29245511</v>
      </c>
      <c r="O87" s="206">
        <v>153699964.69783214</v>
      </c>
      <c r="P87" s="206">
        <v>153699691.76969665</v>
      </c>
      <c r="Q87" s="206">
        <v>153699416.01135987</v>
      </c>
      <c r="R87" s="206">
        <v>172760380.16405028</v>
      </c>
      <c r="S87" s="206">
        <v>177883631.08129084</v>
      </c>
      <c r="T87" s="206">
        <v>181899615.12978664</v>
      </c>
      <c r="U87" s="206">
        <v>181899341.15834254</v>
      </c>
      <c r="V87" s="206">
        <v>182475488.88631275</v>
      </c>
      <c r="W87" s="206">
        <v>182475213.97107354</v>
      </c>
      <c r="X87" s="206">
        <v>182474935.30737868</v>
      </c>
      <c r="Y87" s="206">
        <v>182474655.66644076</v>
      </c>
      <c r="Z87" s="206">
        <v>182474371.77218896</v>
      </c>
      <c r="AA87" s="206">
        <v>181881901.39502135</v>
      </c>
      <c r="AB87" s="206">
        <v>181715276.93469003</v>
      </c>
      <c r="AC87" s="206">
        <v>181714988.99053487</v>
      </c>
    </row>
    <row r="88" spans="1:29" x14ac:dyDescent="0.25">
      <c r="B88" s="128" t="s">
        <v>94</v>
      </c>
      <c r="C88" s="128"/>
      <c r="D88" s="206">
        <v>0</v>
      </c>
      <c r="E88" s="206">
        <v>-1765.8168083097264</v>
      </c>
      <c r="F88" s="206">
        <v>-1924.5355026077127</v>
      </c>
      <c r="G88" s="206">
        <v>-1975.8975059401823</v>
      </c>
      <c r="H88" s="206">
        <v>-2313.8106534548424</v>
      </c>
      <c r="I88" s="206">
        <v>85063491.84429957</v>
      </c>
      <c r="J88" s="206">
        <v>85063643.56261526</v>
      </c>
      <c r="K88" s="206">
        <v>147604404.822211</v>
      </c>
      <c r="L88" s="206">
        <v>129862250.97288354</v>
      </c>
      <c r="M88" s="206">
        <v>211733343.84411925</v>
      </c>
      <c r="N88" s="206">
        <v>216558037.21297652</v>
      </c>
      <c r="O88" s="206">
        <v>192884094.09493789</v>
      </c>
      <c r="P88" s="206">
        <v>192884078.01077521</v>
      </c>
      <c r="Q88" s="206">
        <v>181593900.92343456</v>
      </c>
      <c r="R88" s="206">
        <v>143475692.09886974</v>
      </c>
      <c r="S88" s="206">
        <v>137340257.5447723</v>
      </c>
      <c r="T88" s="206">
        <v>137340284.32038644</v>
      </c>
      <c r="U88" s="206">
        <v>153760102.79963982</v>
      </c>
      <c r="V88" s="206">
        <v>156338173.75353485</v>
      </c>
      <c r="W88" s="206">
        <v>159331362.71671563</v>
      </c>
      <c r="X88" s="206">
        <v>156145936.73173827</v>
      </c>
      <c r="Y88" s="206">
        <v>157634350.82753122</v>
      </c>
      <c r="Z88" s="206">
        <v>149440086.07557598</v>
      </c>
      <c r="AA88" s="206">
        <v>153578017.13318732</v>
      </c>
      <c r="AB88" s="206">
        <v>148799533.52397686</v>
      </c>
      <c r="AC88" s="206">
        <v>151388567.7692357</v>
      </c>
    </row>
    <row r="89" spans="1:29" x14ac:dyDescent="0.25">
      <c r="B89" s="128" t="s">
        <v>86</v>
      </c>
      <c r="C89" s="128"/>
      <c r="D89" s="206">
        <v>0</v>
      </c>
      <c r="E89" s="206">
        <v>-121.81303116147311</v>
      </c>
      <c r="F89" s="206">
        <v>182.24918656669169</v>
      </c>
      <c r="G89" s="206">
        <v>158.67318503703356</v>
      </c>
      <c r="H89" s="206">
        <v>521557.06962064008</v>
      </c>
      <c r="I89" s="206">
        <v>1829135.1089672875</v>
      </c>
      <c r="J89" s="206">
        <v>1945354.1746403379</v>
      </c>
      <c r="K89" s="206">
        <v>3356791.2199810175</v>
      </c>
      <c r="L89" s="206">
        <v>9962875.0361965522</v>
      </c>
      <c r="M89" s="206">
        <v>7911919.3782602064</v>
      </c>
      <c r="N89" s="206">
        <v>11517246.80206147</v>
      </c>
      <c r="O89" s="206">
        <v>9203837.6596211642</v>
      </c>
      <c r="P89" s="206">
        <v>4566879.1113633169</v>
      </c>
      <c r="Q89" s="206">
        <v>3979765.8809955427</v>
      </c>
      <c r="R89" s="206">
        <v>25440854.667478032</v>
      </c>
      <c r="S89" s="206">
        <v>59476879.088016465</v>
      </c>
      <c r="T89" s="206">
        <v>119067508.61073366</v>
      </c>
      <c r="U89" s="206">
        <v>172091479.61973739</v>
      </c>
      <c r="V89" s="206">
        <v>321211731.93774927</v>
      </c>
      <c r="W89" s="206">
        <v>430513441.27457148</v>
      </c>
      <c r="X89" s="206">
        <v>537769920.17588496</v>
      </c>
      <c r="Y89" s="206">
        <v>641613333.09125304</v>
      </c>
      <c r="Z89" s="206">
        <v>755841943.64550567</v>
      </c>
      <c r="AA89" s="206">
        <v>881493602.68789303</v>
      </c>
      <c r="AB89" s="206">
        <v>984898666.44705498</v>
      </c>
      <c r="AC89" s="206">
        <v>1109444620.9393585</v>
      </c>
    </row>
    <row r="90" spans="1:29" x14ac:dyDescent="0.25">
      <c r="B90" s="128" t="s">
        <v>79</v>
      </c>
      <c r="C90" s="128"/>
      <c r="D90" s="206">
        <v>0</v>
      </c>
      <c r="E90" s="206">
        <v>-380.54768649669501</v>
      </c>
      <c r="F90" s="206">
        <v>-770.21099777883001</v>
      </c>
      <c r="G90" s="206">
        <v>-1037.967015151376</v>
      </c>
      <c r="H90" s="206">
        <v>-1142904.534019585</v>
      </c>
      <c r="I90" s="206">
        <v>6424328.08483137</v>
      </c>
      <c r="J90" s="206">
        <v>8027276.7548083942</v>
      </c>
      <c r="K90" s="206">
        <v>23982193.640657142</v>
      </c>
      <c r="L90" s="206">
        <v>25102896.789894201</v>
      </c>
      <c r="M90" s="206">
        <v>29399583.81700597</v>
      </c>
      <c r="N90" s="206">
        <v>35013686.260815546</v>
      </c>
      <c r="O90" s="206">
        <v>39930137.455788806</v>
      </c>
      <c r="P90" s="206">
        <v>42356340.40946544</v>
      </c>
      <c r="Q90" s="206">
        <v>44943825.023830242</v>
      </c>
      <c r="R90" s="206">
        <v>46053306.845479526</v>
      </c>
      <c r="S90" s="206">
        <v>51546854.842005409</v>
      </c>
      <c r="T90" s="206">
        <v>54884622.575002693</v>
      </c>
      <c r="U90" s="206">
        <v>59723369.989491731</v>
      </c>
      <c r="V90" s="206">
        <v>70166904.839979276</v>
      </c>
      <c r="W90" s="206">
        <v>70144928.782014266</v>
      </c>
      <c r="X90" s="206">
        <v>70099353.763677478</v>
      </c>
      <c r="Y90" s="206">
        <v>69054545.009313062</v>
      </c>
      <c r="Z90" s="206">
        <v>69986341.759273127</v>
      </c>
      <c r="AA90" s="206">
        <v>69946454.905572996</v>
      </c>
      <c r="AB90" s="206">
        <v>70209473.013667554</v>
      </c>
      <c r="AC90" s="206">
        <v>65775735.63154576</v>
      </c>
    </row>
    <row r="91" spans="1:29" x14ac:dyDescent="0.25">
      <c r="B91" s="128" t="s">
        <v>101</v>
      </c>
      <c r="C91" s="128"/>
      <c r="D91" s="206">
        <v>0</v>
      </c>
      <c r="E91" s="206">
        <v>-34179.414542020779</v>
      </c>
      <c r="F91" s="206">
        <v>-35857.552646901735</v>
      </c>
      <c r="G91" s="206">
        <v>-54730.983871447701</v>
      </c>
      <c r="H91" s="206">
        <v>61746216.491431154</v>
      </c>
      <c r="I91" s="206">
        <v>17192961.681166932</v>
      </c>
      <c r="J91" s="206">
        <v>170682391.61237669</v>
      </c>
      <c r="K91" s="206">
        <v>400531712.79372346</v>
      </c>
      <c r="L91" s="206">
        <v>229805786.97416347</v>
      </c>
      <c r="M91" s="206">
        <v>1062484469.3227832</v>
      </c>
      <c r="N91" s="206">
        <v>897030370.87243593</v>
      </c>
      <c r="O91" s="206">
        <v>1143752525.7099597</v>
      </c>
      <c r="P91" s="206">
        <v>1254538444.8640227</v>
      </c>
      <c r="Q91" s="206">
        <v>1237198994.6381876</v>
      </c>
      <c r="R91" s="206">
        <v>1058332307.106638</v>
      </c>
      <c r="S91" s="206">
        <v>1061276750.0240265</v>
      </c>
      <c r="T91" s="206">
        <v>1088689282.1011739</v>
      </c>
      <c r="U91" s="206">
        <v>1085297353.3537858</v>
      </c>
      <c r="V91" s="206">
        <v>858777303.76650751</v>
      </c>
      <c r="W91" s="206">
        <v>1024318409.4553249</v>
      </c>
      <c r="X91" s="206">
        <v>1029237312.363771</v>
      </c>
      <c r="Y91" s="206">
        <v>1030754909.9318668</v>
      </c>
      <c r="Z91" s="206">
        <v>1105006400.9126985</v>
      </c>
      <c r="AA91" s="206">
        <v>1051085579.0226439</v>
      </c>
      <c r="AB91" s="206">
        <v>1050867989.5948101</v>
      </c>
      <c r="AC91" s="206">
        <v>1053662034.8301773</v>
      </c>
    </row>
    <row r="92" spans="1:29" x14ac:dyDescent="0.25">
      <c r="B92" s="125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/>
      <c r="AC92" s="148"/>
    </row>
    <row r="93" spans="1:29" x14ac:dyDescent="0.25">
      <c r="A93" s="137"/>
      <c r="B93" s="137"/>
      <c r="C93" s="137"/>
      <c r="D93" s="137"/>
      <c r="E93" s="137"/>
      <c r="F93" s="137"/>
      <c r="G93" s="137"/>
      <c r="H93" s="137"/>
      <c r="I93" s="137"/>
      <c r="AC93" s="197"/>
    </row>
    <row r="94" spans="1:29" x14ac:dyDescent="0.25">
      <c r="A94" s="137"/>
      <c r="B94" s="137"/>
      <c r="C94" s="137"/>
      <c r="D94" s="137"/>
      <c r="E94" s="137"/>
      <c r="F94" s="137"/>
      <c r="G94" s="137"/>
      <c r="H94" s="137"/>
      <c r="I94" s="137"/>
      <c r="AC94" s="197"/>
    </row>
    <row r="95" spans="1:29" x14ac:dyDescent="0.25">
      <c r="A95" s="137"/>
      <c r="B95" s="137"/>
      <c r="C95" s="137"/>
      <c r="D95" s="137"/>
      <c r="E95" s="137"/>
      <c r="F95" s="137"/>
      <c r="G95" s="137"/>
      <c r="H95" s="137"/>
      <c r="I95" s="137"/>
    </row>
    <row r="96" spans="1:29" x14ac:dyDescent="0.25">
      <c r="A96" s="137"/>
      <c r="B96" s="137"/>
      <c r="C96" s="137"/>
      <c r="D96" s="137"/>
      <c r="E96" s="137"/>
      <c r="F96" s="137"/>
      <c r="G96" s="137"/>
      <c r="H96" s="137"/>
      <c r="I96" s="137"/>
    </row>
    <row r="97" spans="1:27" x14ac:dyDescent="0.25">
      <c r="A97" s="137"/>
      <c r="B97" s="137"/>
      <c r="C97" s="137"/>
      <c r="D97" s="137"/>
      <c r="E97" s="137"/>
      <c r="F97" s="137"/>
      <c r="G97" s="137"/>
      <c r="H97" s="137"/>
      <c r="I97" s="137"/>
    </row>
    <row r="98" spans="1:27" x14ac:dyDescent="0.25">
      <c r="A98" s="137"/>
      <c r="B98" s="137"/>
      <c r="C98" s="137"/>
      <c r="D98" s="137"/>
      <c r="E98" s="137"/>
      <c r="F98" s="137"/>
      <c r="G98" s="137"/>
      <c r="H98" s="137"/>
      <c r="I98" s="137"/>
      <c r="S98" s="124"/>
      <c r="V98" s="124"/>
      <c r="W98" s="124"/>
      <c r="X98" s="124"/>
      <c r="Y98" s="124"/>
      <c r="Z98" s="124"/>
      <c r="AA98" s="124"/>
    </row>
    <row r="100" spans="1:27" x14ac:dyDescent="0.25">
      <c r="B100" s="173"/>
      <c r="C100" s="173"/>
      <c r="D100" s="173"/>
    </row>
    <row r="101" spans="1:27" x14ac:dyDescent="0.25">
      <c r="B101" s="173"/>
      <c r="C101" s="173"/>
      <c r="D101" s="173"/>
    </row>
    <row r="102" spans="1:27" x14ac:dyDescent="0.25">
      <c r="B102" s="173"/>
      <c r="C102" s="173"/>
      <c r="D102" s="173"/>
    </row>
    <row r="103" spans="1:27" x14ac:dyDescent="0.25">
      <c r="B103" s="173"/>
      <c r="C103" s="173"/>
      <c r="D103" s="173"/>
    </row>
    <row r="104" spans="1:27" x14ac:dyDescent="0.25">
      <c r="B104" s="173"/>
      <c r="C104" s="173"/>
      <c r="D104" s="173"/>
    </row>
    <row r="105" spans="1:27" x14ac:dyDescent="0.25">
      <c r="B105" s="173"/>
      <c r="C105" s="173"/>
      <c r="D105" s="173"/>
    </row>
    <row r="106" spans="1:27" x14ac:dyDescent="0.25">
      <c r="B106" s="173"/>
      <c r="C106" s="173"/>
      <c r="D106" s="173"/>
    </row>
    <row r="107" spans="1:27" x14ac:dyDescent="0.25">
      <c r="B107" s="143"/>
      <c r="C107" s="143"/>
      <c r="D107" s="143"/>
    </row>
    <row r="108" spans="1:27" ht="13" x14ac:dyDescent="0.3">
      <c r="B108" s="144"/>
      <c r="C108" s="144"/>
      <c r="D108" s="144"/>
    </row>
    <row r="109" spans="1:27" x14ac:dyDescent="0.25">
      <c r="B109" s="173"/>
      <c r="C109" s="173"/>
      <c r="D109" s="173"/>
    </row>
    <row r="110" spans="1:27" x14ac:dyDescent="0.25">
      <c r="B110" s="173"/>
      <c r="C110" s="173"/>
      <c r="D110" s="173"/>
    </row>
    <row r="111" spans="1:27" x14ac:dyDescent="0.25">
      <c r="B111" s="173"/>
      <c r="C111" s="173"/>
      <c r="D111" s="173"/>
    </row>
    <row r="112" spans="1:27" x14ac:dyDescent="0.25">
      <c r="B112" s="173"/>
      <c r="C112" s="173"/>
      <c r="D112" s="173"/>
    </row>
    <row r="113" spans="2:4" x14ac:dyDescent="0.25">
      <c r="B113" s="173"/>
      <c r="C113" s="173"/>
      <c r="D113" s="173"/>
    </row>
    <row r="114" spans="2:4" x14ac:dyDescent="0.25">
      <c r="B114" s="173"/>
      <c r="C114" s="173"/>
      <c r="D114" s="173"/>
    </row>
    <row r="115" spans="2:4" x14ac:dyDescent="0.25">
      <c r="B115" s="173"/>
      <c r="C115" s="173"/>
      <c r="D115" s="173"/>
    </row>
    <row r="116" spans="2:4" x14ac:dyDescent="0.25">
      <c r="B116" s="173"/>
      <c r="C116" s="173"/>
      <c r="D116" s="173"/>
    </row>
    <row r="117" spans="2:4" x14ac:dyDescent="0.25">
      <c r="B117" s="173"/>
      <c r="C117" s="173"/>
      <c r="D117" s="173"/>
    </row>
    <row r="118" spans="2:4" x14ac:dyDescent="0.25">
      <c r="B118" s="173"/>
      <c r="C118" s="173"/>
      <c r="D118" s="173"/>
    </row>
    <row r="119" spans="2:4" x14ac:dyDescent="0.25">
      <c r="B119" s="173"/>
      <c r="C119" s="173"/>
      <c r="D119" s="173"/>
    </row>
    <row r="120" spans="2:4" x14ac:dyDescent="0.25">
      <c r="B120" s="173"/>
      <c r="C120" s="173"/>
      <c r="D120" s="173"/>
    </row>
    <row r="121" spans="2:4" x14ac:dyDescent="0.25">
      <c r="B121" s="173"/>
      <c r="C121" s="173"/>
      <c r="D121" s="173"/>
    </row>
    <row r="122" spans="2:4" x14ac:dyDescent="0.25">
      <c r="B122" s="173"/>
      <c r="C122" s="173"/>
      <c r="D122" s="173"/>
    </row>
    <row r="123" spans="2:4" x14ac:dyDescent="0.25">
      <c r="B123" s="173"/>
      <c r="C123" s="173"/>
      <c r="D123" s="173"/>
    </row>
    <row r="124" spans="2:4" x14ac:dyDescent="0.25">
      <c r="B124" s="173"/>
      <c r="C124" s="173"/>
      <c r="D124" s="173"/>
    </row>
    <row r="125" spans="2:4" x14ac:dyDescent="0.25">
      <c r="B125" s="173"/>
      <c r="C125" s="173"/>
      <c r="D125" s="173"/>
    </row>
    <row r="126" spans="2:4" x14ac:dyDescent="0.25">
      <c r="B126" s="173"/>
      <c r="C126" s="173"/>
      <c r="D126" s="173"/>
    </row>
  </sheetData>
  <mergeCells count="20">
    <mergeCell ref="D8:F8"/>
    <mergeCell ref="G8:I8"/>
    <mergeCell ref="J8:L8"/>
    <mergeCell ref="M8:O8"/>
    <mergeCell ref="D29:F29"/>
    <mergeCell ref="G29:I29"/>
    <mergeCell ref="J29:L29"/>
    <mergeCell ref="M29:O29"/>
    <mergeCell ref="D18:F18"/>
    <mergeCell ref="G18:I18"/>
    <mergeCell ref="J18:L18"/>
    <mergeCell ref="M18:O18"/>
    <mergeCell ref="J40:L40"/>
    <mergeCell ref="M40:O40"/>
    <mergeCell ref="D51:F51"/>
    <mergeCell ref="G51:I51"/>
    <mergeCell ref="J51:L51"/>
    <mergeCell ref="M51:O51"/>
    <mergeCell ref="D40:F40"/>
    <mergeCell ref="G40:I40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E0D4A4"/>
  </sheetPr>
  <dimension ref="A1:T27"/>
  <sheetViews>
    <sheetView showGridLines="0" workbookViewId="0">
      <selection activeCell="B2" sqref="B2"/>
    </sheetView>
  </sheetViews>
  <sheetFormatPr defaultRowHeight="15.5" x14ac:dyDescent="0.35"/>
  <cols>
    <col min="1" max="1" width="5.69140625" customWidth="1"/>
    <col min="2" max="2" width="9.53515625" customWidth="1"/>
    <col min="3" max="5" width="14.53515625" customWidth="1"/>
    <col min="6" max="8" width="8.84375" customWidth="1"/>
    <col min="9" max="10" width="14.53515625" customWidth="1"/>
    <col min="11" max="14" width="8.84375" customWidth="1"/>
  </cols>
  <sheetData>
    <row r="1" spans="1:20" ht="18" x14ac:dyDescent="0.4">
      <c r="B1" s="85" t="str">
        <f ca="1">MID(CELL("filename",B2),FIND("]",CELL("filename",B2))+1,256)</f>
        <v>Option inputs</v>
      </c>
    </row>
    <row r="2" spans="1:20" x14ac:dyDescent="0.35">
      <c r="B2" s="86" t="s">
        <v>34</v>
      </c>
    </row>
    <row r="4" spans="1:20" ht="21" x14ac:dyDescent="0.5">
      <c r="A4" s="88"/>
      <c r="B4" s="57" t="s">
        <v>26</v>
      </c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</row>
    <row r="5" spans="1:20" x14ac:dyDescent="0.35">
      <c r="A5" s="88"/>
      <c r="B5" s="46"/>
      <c r="C5" s="46"/>
      <c r="D5" s="46"/>
      <c r="E5" s="6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</row>
    <row r="6" spans="1:20" x14ac:dyDescent="0.35">
      <c r="A6" s="88"/>
      <c r="B6" s="58" t="s">
        <v>5</v>
      </c>
      <c r="C6" s="58"/>
      <c r="D6" s="67"/>
      <c r="E6" s="67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</row>
    <row r="7" spans="1:20" x14ac:dyDescent="0.35">
      <c r="A7" s="88"/>
      <c r="B7" s="59" t="s">
        <v>6</v>
      </c>
      <c r="C7" s="59"/>
      <c r="D7" s="63" t="s">
        <v>7</v>
      </c>
      <c r="E7" s="63" t="s">
        <v>8</v>
      </c>
      <c r="F7" s="59" t="s">
        <v>33</v>
      </c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</row>
    <row r="8" spans="1:20" x14ac:dyDescent="0.35">
      <c r="A8" s="88"/>
      <c r="B8" s="60" t="s">
        <v>9</v>
      </c>
      <c r="C8" s="62"/>
      <c r="D8" s="68" t="s">
        <v>10</v>
      </c>
      <c r="E8" s="48">
        <v>2020</v>
      </c>
      <c r="F8" s="55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</row>
    <row r="9" spans="1:20" x14ac:dyDescent="0.35">
      <c r="A9" s="88"/>
      <c r="B9" s="60" t="s">
        <v>59</v>
      </c>
      <c r="C9" s="62"/>
      <c r="D9" s="68" t="s">
        <v>10</v>
      </c>
      <c r="E9" s="48">
        <v>2020</v>
      </c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</row>
    <row r="10" spans="1:20" x14ac:dyDescent="0.35">
      <c r="A10" s="88"/>
      <c r="B10" s="60" t="s">
        <v>11</v>
      </c>
      <c r="C10" s="62"/>
      <c r="D10" s="68" t="s">
        <v>12</v>
      </c>
      <c r="E10" s="48">
        <v>26</v>
      </c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</row>
    <row r="11" spans="1:20" x14ac:dyDescent="0.35">
      <c r="A11" s="88"/>
      <c r="B11" s="46"/>
      <c r="C11" s="46"/>
      <c r="D11" s="46"/>
      <c r="E11" s="46"/>
      <c r="F11" s="46"/>
      <c r="G11" s="46"/>
      <c r="H11" s="46"/>
      <c r="I11" s="46"/>
      <c r="J11" s="46"/>
    </row>
    <row r="12" spans="1:20" x14ac:dyDescent="0.35">
      <c r="A12" s="164"/>
      <c r="B12" s="5" t="s">
        <v>23</v>
      </c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</row>
    <row r="13" spans="1:20" ht="30" customHeight="1" x14ac:dyDescent="0.35">
      <c r="A13" s="161"/>
      <c r="B13" s="90" t="s">
        <v>14</v>
      </c>
      <c r="C13" s="89" t="s">
        <v>13</v>
      </c>
      <c r="D13" s="90"/>
      <c r="E13" s="91" t="s">
        <v>57</v>
      </c>
      <c r="F13" s="91" t="s">
        <v>41</v>
      </c>
      <c r="G13" s="89" t="s">
        <v>16</v>
      </c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1:20" x14ac:dyDescent="0.35">
      <c r="B14" s="61">
        <v>0</v>
      </c>
      <c r="C14" s="50" t="s">
        <v>15</v>
      </c>
      <c r="D14" s="93"/>
      <c r="E14" s="52" t="s">
        <v>56</v>
      </c>
      <c r="F14" s="165">
        <f t="shared" ref="F14:F26" si="0">IF(E14="Yes",1,0)</f>
        <v>1</v>
      </c>
      <c r="G14" s="93" t="s">
        <v>124</v>
      </c>
      <c r="H14" s="93"/>
      <c r="I14" s="93"/>
      <c r="J14" s="93"/>
      <c r="K14" s="51"/>
      <c r="L14" s="51"/>
      <c r="M14" s="51"/>
      <c r="N14" s="51"/>
      <c r="O14" s="51"/>
      <c r="P14" s="51"/>
      <c r="Q14" s="51"/>
      <c r="R14" s="51"/>
      <c r="S14" s="51"/>
      <c r="T14" s="51"/>
    </row>
    <row r="15" spans="1:20" x14ac:dyDescent="0.35">
      <c r="B15" s="61">
        <f t="shared" ref="B15:B26" si="1">+B14+1</f>
        <v>1</v>
      </c>
      <c r="C15" s="50" t="s">
        <v>91</v>
      </c>
      <c r="D15" s="92"/>
      <c r="E15" s="52" t="s">
        <v>56</v>
      </c>
      <c r="F15" s="165">
        <f t="shared" si="0"/>
        <v>1</v>
      </c>
      <c r="G15" s="92" t="s">
        <v>119</v>
      </c>
      <c r="H15" s="92"/>
      <c r="I15" s="92"/>
      <c r="J15" s="92"/>
      <c r="K15" s="51"/>
      <c r="L15" s="51"/>
      <c r="M15" s="51"/>
      <c r="N15" s="51"/>
      <c r="O15" s="51"/>
      <c r="P15" s="51"/>
      <c r="Q15" s="51"/>
      <c r="R15" s="51"/>
      <c r="S15" s="51"/>
      <c r="T15" s="51"/>
    </row>
    <row r="16" spans="1:20" x14ac:dyDescent="0.35">
      <c r="B16" s="61">
        <f t="shared" si="1"/>
        <v>2</v>
      </c>
      <c r="C16" s="50" t="s">
        <v>92</v>
      </c>
      <c r="D16" s="92"/>
      <c r="E16" s="52" t="s">
        <v>56</v>
      </c>
      <c r="F16" s="165">
        <f t="shared" si="0"/>
        <v>1</v>
      </c>
      <c r="G16" s="92" t="s">
        <v>118</v>
      </c>
      <c r="H16" s="92"/>
      <c r="I16" s="92"/>
      <c r="J16" s="92"/>
      <c r="K16" s="51"/>
      <c r="L16" s="51"/>
      <c r="M16" s="51"/>
      <c r="N16" s="51"/>
      <c r="O16" s="51"/>
      <c r="P16" s="51"/>
      <c r="Q16" s="51"/>
      <c r="R16" s="51"/>
      <c r="S16" s="51"/>
      <c r="T16" s="51"/>
    </row>
    <row r="17" spans="1:20" x14ac:dyDescent="0.35">
      <c r="B17" s="61">
        <f t="shared" si="1"/>
        <v>3</v>
      </c>
      <c r="C17" s="50" t="s">
        <v>93</v>
      </c>
      <c r="D17" s="50"/>
      <c r="E17" s="52" t="s">
        <v>56</v>
      </c>
      <c r="F17" s="165">
        <f t="shared" si="0"/>
        <v>1</v>
      </c>
      <c r="G17" s="92" t="s">
        <v>113</v>
      </c>
      <c r="H17" s="92"/>
      <c r="I17" s="50"/>
      <c r="J17" s="50"/>
      <c r="K17" s="51"/>
      <c r="L17" s="51"/>
      <c r="M17" s="51"/>
      <c r="N17" s="51"/>
      <c r="O17" s="51"/>
      <c r="P17" s="51"/>
      <c r="Q17" s="51"/>
      <c r="R17" s="51"/>
      <c r="S17" s="51"/>
      <c r="T17" s="51"/>
    </row>
    <row r="18" spans="1:20" x14ac:dyDescent="0.35">
      <c r="B18" s="61">
        <f t="shared" si="1"/>
        <v>4</v>
      </c>
      <c r="C18" s="50" t="s">
        <v>106</v>
      </c>
      <c r="D18" s="51"/>
      <c r="E18" s="52" t="s">
        <v>56</v>
      </c>
      <c r="F18" s="165">
        <f t="shared" si="0"/>
        <v>1</v>
      </c>
      <c r="G18" s="92" t="s">
        <v>130</v>
      </c>
      <c r="H18" s="92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</row>
    <row r="19" spans="1:20" x14ac:dyDescent="0.35">
      <c r="B19" s="61">
        <f t="shared" si="1"/>
        <v>5</v>
      </c>
      <c r="C19" s="50" t="s">
        <v>143</v>
      </c>
      <c r="D19" s="51"/>
      <c r="E19" s="52" t="s">
        <v>56</v>
      </c>
      <c r="F19" s="165">
        <f t="shared" si="0"/>
        <v>1</v>
      </c>
      <c r="G19" s="92" t="s">
        <v>117</v>
      </c>
      <c r="H19" s="92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</row>
    <row r="20" spans="1:20" x14ac:dyDescent="0.35">
      <c r="B20" s="61">
        <f t="shared" si="1"/>
        <v>6</v>
      </c>
      <c r="C20" s="50" t="s">
        <v>107</v>
      </c>
      <c r="D20" s="51"/>
      <c r="E20" s="52" t="s">
        <v>56</v>
      </c>
      <c r="F20" s="165">
        <f t="shared" si="0"/>
        <v>1</v>
      </c>
      <c r="G20" s="92" t="s">
        <v>114</v>
      </c>
      <c r="H20" s="92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</row>
    <row r="21" spans="1:20" x14ac:dyDescent="0.35">
      <c r="B21" s="61">
        <f t="shared" si="1"/>
        <v>7</v>
      </c>
      <c r="C21" s="50" t="s">
        <v>78</v>
      </c>
      <c r="D21" s="51"/>
      <c r="E21" s="52" t="s">
        <v>56</v>
      </c>
      <c r="F21" s="165">
        <f t="shared" si="0"/>
        <v>1</v>
      </c>
      <c r="G21" s="92" t="s">
        <v>116</v>
      </c>
      <c r="H21" s="92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</row>
    <row r="22" spans="1:20" x14ac:dyDescent="0.35">
      <c r="B22" s="61">
        <f t="shared" si="1"/>
        <v>8</v>
      </c>
      <c r="C22" s="50" t="s">
        <v>108</v>
      </c>
      <c r="D22" s="51"/>
      <c r="E22" s="52" t="s">
        <v>56</v>
      </c>
      <c r="F22" s="165">
        <f t="shared" si="0"/>
        <v>1</v>
      </c>
      <c r="G22" s="92" t="s">
        <v>115</v>
      </c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</row>
    <row r="23" spans="1:20" x14ac:dyDescent="0.35">
      <c r="B23" s="61">
        <f t="shared" si="1"/>
        <v>9</v>
      </c>
      <c r="C23" s="50" t="s">
        <v>109</v>
      </c>
      <c r="D23" s="51"/>
      <c r="E23" s="52" t="s">
        <v>56</v>
      </c>
      <c r="F23" s="165">
        <f t="shared" si="0"/>
        <v>1</v>
      </c>
      <c r="G23" s="92" t="s">
        <v>120</v>
      </c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</row>
    <row r="24" spans="1:20" x14ac:dyDescent="0.35">
      <c r="B24" s="61">
        <f t="shared" si="1"/>
        <v>10</v>
      </c>
      <c r="C24" s="50" t="s">
        <v>110</v>
      </c>
      <c r="D24" s="51"/>
      <c r="E24" s="52" t="s">
        <v>56</v>
      </c>
      <c r="F24" s="165">
        <f t="shared" si="0"/>
        <v>1</v>
      </c>
      <c r="G24" s="51" t="s">
        <v>121</v>
      </c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</row>
    <row r="25" spans="1:20" x14ac:dyDescent="0.35">
      <c r="B25" s="61">
        <f t="shared" si="1"/>
        <v>11</v>
      </c>
      <c r="C25" s="50" t="s">
        <v>111</v>
      </c>
      <c r="D25" s="51"/>
      <c r="E25" s="52" t="s">
        <v>56</v>
      </c>
      <c r="F25" s="165">
        <f t="shared" si="0"/>
        <v>1</v>
      </c>
      <c r="G25" s="51" t="s">
        <v>122</v>
      </c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</row>
    <row r="26" spans="1:20" x14ac:dyDescent="0.35">
      <c r="B26" s="61">
        <f t="shared" si="1"/>
        <v>12</v>
      </c>
      <c r="C26" s="50" t="s">
        <v>112</v>
      </c>
      <c r="D26" s="51"/>
      <c r="E26" s="52" t="s">
        <v>56</v>
      </c>
      <c r="F26" s="165">
        <f t="shared" si="0"/>
        <v>1</v>
      </c>
      <c r="G26" s="51" t="s">
        <v>123</v>
      </c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</row>
    <row r="27" spans="1:20" x14ac:dyDescent="0.35">
      <c r="A27" s="96"/>
    </row>
  </sheetData>
  <dataValidations count="1">
    <dataValidation type="list" allowBlank="1" showInputMessage="1" showErrorMessage="1" sqref="E14:E26" xr:uid="{00000000-0002-0000-0200-000000000000}">
      <formula1>"Yes, No"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E0D4A4"/>
  </sheetPr>
  <dimension ref="A1:BT378"/>
  <sheetViews>
    <sheetView showGridLines="0" zoomScale="80" zoomScaleNormal="80" workbookViewId="0">
      <selection activeCell="P46" sqref="P46"/>
    </sheetView>
  </sheetViews>
  <sheetFormatPr defaultColWidth="8.84375" defaultRowHeight="15.5" x14ac:dyDescent="0.35"/>
  <cols>
    <col min="1" max="1" width="13.23046875" style="88" bestFit="1" customWidth="1"/>
    <col min="2" max="2" width="9.53515625" style="46" customWidth="1"/>
    <col min="3" max="4" width="20.69140625" style="46" customWidth="1"/>
    <col min="5" max="5" width="14.3046875" style="46" customWidth="1"/>
    <col min="6" max="30" width="14.69140625" style="46" customWidth="1"/>
    <col min="31" max="31" width="12.69140625" style="46" customWidth="1"/>
    <col min="32" max="35" width="12.69140625" style="47" customWidth="1"/>
    <col min="36" max="36" width="8.84375" style="46"/>
    <col min="37" max="37" width="17.765625" style="46" bestFit="1" customWidth="1"/>
    <col min="38" max="38" width="8.84375" style="46"/>
    <col min="39" max="39" width="12.765625" style="46" bestFit="1" customWidth="1"/>
    <col min="40" max="41" width="10.84375" style="46" bestFit="1" customWidth="1"/>
    <col min="42" max="42" width="11.07421875" style="46" bestFit="1" customWidth="1"/>
    <col min="43" max="43" width="11.765625" style="46" bestFit="1" customWidth="1"/>
    <col min="44" max="44" width="9.765625" style="46" bestFit="1" customWidth="1"/>
    <col min="45" max="45" width="10.23046875" style="46" bestFit="1" customWidth="1"/>
    <col min="46" max="46" width="9.765625" style="46" bestFit="1" customWidth="1"/>
    <col min="47" max="47" width="10.23046875" style="46" bestFit="1" customWidth="1"/>
    <col min="48" max="48" width="9.765625" style="46" bestFit="1" customWidth="1"/>
    <col min="49" max="50" width="10.84375" style="46" bestFit="1" customWidth="1"/>
    <col min="51" max="51" width="11.07421875" style="46" bestFit="1" customWidth="1"/>
    <col min="52" max="52" width="10.84375" style="46" bestFit="1" customWidth="1"/>
    <col min="53" max="54" width="11.07421875" style="46" bestFit="1" customWidth="1"/>
    <col min="55" max="56" width="11.765625" style="46" bestFit="1" customWidth="1"/>
    <col min="57" max="58" width="10.84375" style="46" bestFit="1" customWidth="1"/>
    <col min="59" max="61" width="11.765625" style="46" bestFit="1" customWidth="1"/>
    <col min="62" max="63" width="11.07421875" style="46" bestFit="1" customWidth="1"/>
    <col min="64" max="16384" width="8.84375" style="46"/>
  </cols>
  <sheetData>
    <row r="1" spans="1:63" ht="18" x14ac:dyDescent="0.4">
      <c r="B1" s="85" t="str">
        <f ca="1">MID(CELL("filename",B2),FIND("]",CELL("filename",B2))+1,256)</f>
        <v>CBA Inputs</v>
      </c>
    </row>
    <row r="2" spans="1:63" x14ac:dyDescent="0.35">
      <c r="B2" s="86" t="s">
        <v>34</v>
      </c>
      <c r="O2" s="71"/>
      <c r="P2" s="71"/>
      <c r="Q2" s="71"/>
      <c r="R2" s="71"/>
    </row>
    <row r="3" spans="1:63" x14ac:dyDescent="0.35">
      <c r="A3" s="83"/>
    </row>
    <row r="4" spans="1:63" ht="21" x14ac:dyDescent="0.5">
      <c r="B4" s="57" t="s">
        <v>46</v>
      </c>
      <c r="C4" s="57"/>
      <c r="D4" s="57"/>
      <c r="E4" s="69"/>
      <c r="F4" s="57"/>
      <c r="G4" s="57"/>
      <c r="H4" s="57"/>
      <c r="I4" s="57"/>
      <c r="J4" s="57"/>
    </row>
    <row r="5" spans="1:63" x14ac:dyDescent="0.35">
      <c r="A5" s="166"/>
      <c r="E5" s="66"/>
      <c r="F5" s="66"/>
      <c r="G5" s="66"/>
      <c r="H5" s="66"/>
      <c r="I5" s="66"/>
      <c r="J5" s="70"/>
    </row>
    <row r="6" spans="1:63" x14ac:dyDescent="0.35">
      <c r="A6" s="166"/>
      <c r="B6" s="5" t="s">
        <v>44</v>
      </c>
      <c r="C6" s="5"/>
      <c r="D6" s="5"/>
      <c r="E6" s="5"/>
      <c r="F6" s="5"/>
      <c r="G6" s="5"/>
      <c r="H6" s="5"/>
      <c r="I6" s="5"/>
      <c r="J6" s="5"/>
    </row>
    <row r="7" spans="1:63" x14ac:dyDescent="0.35">
      <c r="A7" s="166"/>
      <c r="B7" s="59" t="s">
        <v>5</v>
      </c>
      <c r="C7" s="59"/>
      <c r="D7" s="59"/>
      <c r="E7" s="63" t="s">
        <v>7</v>
      </c>
      <c r="F7" s="63" t="s">
        <v>60</v>
      </c>
      <c r="G7" s="63" t="s">
        <v>39</v>
      </c>
      <c r="H7" s="63" t="s">
        <v>40</v>
      </c>
      <c r="I7" s="63" t="s">
        <v>61</v>
      </c>
      <c r="J7" s="63" t="s">
        <v>41</v>
      </c>
    </row>
    <row r="8" spans="1:63" x14ac:dyDescent="0.35">
      <c r="A8" s="166"/>
      <c r="B8" s="60" t="s">
        <v>66</v>
      </c>
      <c r="C8" s="62"/>
      <c r="D8" s="62"/>
      <c r="E8" s="68" t="s">
        <v>55</v>
      </c>
      <c r="F8" s="53">
        <f>0.059</f>
        <v>5.8999999999999997E-2</v>
      </c>
      <c r="G8" s="53">
        <v>2.8500000000000001E-2</v>
      </c>
      <c r="H8" s="53">
        <v>8.9499999999999996E-2</v>
      </c>
      <c r="I8" s="74">
        <f>INDEX($F8:$H8,1,MATCH('Interface and charts'!$H12,$F$7:$H$7,0))</f>
        <v>5.8999999999999997E-2</v>
      </c>
      <c r="J8" s="74">
        <f>DiscountRate_Selection</f>
        <v>5.8999999999999997E-2</v>
      </c>
    </row>
    <row r="9" spans="1:63" x14ac:dyDescent="0.35">
      <c r="A9" s="166"/>
      <c r="E9" s="66"/>
      <c r="F9" s="66"/>
      <c r="G9" s="66"/>
      <c r="H9" s="66"/>
      <c r="I9" s="66"/>
      <c r="J9" s="70"/>
    </row>
    <row r="10" spans="1:63" x14ac:dyDescent="0.35">
      <c r="A10" s="166"/>
      <c r="B10" s="167" t="s">
        <v>43</v>
      </c>
      <c r="C10" s="168"/>
      <c r="D10" s="168"/>
      <c r="E10" s="169"/>
      <c r="F10" s="169"/>
      <c r="G10" s="169"/>
      <c r="H10" s="169"/>
      <c r="I10" s="169"/>
      <c r="J10" s="169"/>
    </row>
    <row r="11" spans="1:63" x14ac:dyDescent="0.35">
      <c r="A11" s="46"/>
      <c r="B11" s="59" t="s">
        <v>42</v>
      </c>
      <c r="C11" s="59"/>
      <c r="D11" s="59"/>
      <c r="E11" s="63" t="s">
        <v>7</v>
      </c>
      <c r="F11" s="63" t="s">
        <v>60</v>
      </c>
      <c r="G11" s="63" t="s">
        <v>39</v>
      </c>
      <c r="H11" s="63" t="s">
        <v>40</v>
      </c>
      <c r="I11" s="63" t="s">
        <v>61</v>
      </c>
      <c r="J11" s="63" t="s">
        <v>41</v>
      </c>
    </row>
    <row r="12" spans="1:63" x14ac:dyDescent="0.35">
      <c r="A12" s="46"/>
      <c r="B12" s="62" t="s">
        <v>17</v>
      </c>
      <c r="C12" s="62"/>
      <c r="D12" s="62"/>
      <c r="E12" s="68" t="s">
        <v>55</v>
      </c>
      <c r="F12" s="54">
        <v>1</v>
      </c>
      <c r="G12" s="54">
        <v>0.75</v>
      </c>
      <c r="H12" s="54">
        <v>1.25</v>
      </c>
      <c r="I12" s="75">
        <f>INDEX($F12:$H12,1,MATCH('Interface and charts'!$H13,$F$11:$H$11,0))</f>
        <v>1</v>
      </c>
      <c r="J12" s="75">
        <f>CapitalCost_Selection</f>
        <v>1</v>
      </c>
    </row>
    <row r="13" spans="1:63" x14ac:dyDescent="0.35">
      <c r="A13" s="46"/>
      <c r="B13" s="62" t="str">
        <f>+B52</f>
        <v>Operating and maintenance cost</v>
      </c>
      <c r="C13" s="62"/>
      <c r="D13" s="62"/>
      <c r="E13" s="68" t="s">
        <v>55</v>
      </c>
      <c r="F13" s="54">
        <v>1</v>
      </c>
      <c r="G13" s="54">
        <v>0.75</v>
      </c>
      <c r="H13" s="54">
        <v>1.25</v>
      </c>
      <c r="I13" s="75">
        <f>INDEX($F13:$H13,1,MATCH('Interface and charts'!$H14,$F$11:$H$11,0))</f>
        <v>1</v>
      </c>
      <c r="J13" s="75">
        <f>Cost1_Selection</f>
        <v>1</v>
      </c>
    </row>
    <row r="14" spans="1:63" x14ac:dyDescent="0.35">
      <c r="A14" s="87"/>
      <c r="K14" s="46" t="s">
        <v>87</v>
      </c>
      <c r="N14" s="70"/>
    </row>
    <row r="15" spans="1:63" ht="21" x14ac:dyDescent="0.5">
      <c r="A15" s="87"/>
      <c r="B15" s="57" t="s">
        <v>24</v>
      </c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69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</row>
    <row r="16" spans="1:63" x14ac:dyDescent="0.35">
      <c r="A16" s="87"/>
      <c r="J16" s="88"/>
      <c r="K16" s="88"/>
      <c r="L16" s="88"/>
      <c r="M16" s="88"/>
      <c r="N16" s="159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7"/>
      <c r="AG16" s="87"/>
      <c r="AH16" s="87"/>
      <c r="AI16" s="87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</row>
    <row r="17" spans="1:63" x14ac:dyDescent="0.35">
      <c r="A17" s="87"/>
      <c r="B17" s="58" t="s">
        <v>17</v>
      </c>
      <c r="C17" s="58"/>
      <c r="D17" s="58"/>
      <c r="E17" s="58"/>
      <c r="F17" s="58"/>
      <c r="G17" s="58"/>
      <c r="H17" s="58"/>
      <c r="I17" s="72"/>
      <c r="J17" s="72" t="s">
        <v>63</v>
      </c>
      <c r="L17" s="58" t="s">
        <v>137</v>
      </c>
      <c r="M17" s="58"/>
      <c r="N17" s="58"/>
      <c r="O17" s="58"/>
      <c r="P17" s="58"/>
      <c r="Q17" s="58"/>
      <c r="R17" s="58"/>
      <c r="S17" s="58"/>
      <c r="T17" s="58"/>
      <c r="U17" s="58"/>
      <c r="V17" s="87"/>
      <c r="W17" s="88"/>
      <c r="X17" s="88"/>
      <c r="Y17" s="88"/>
      <c r="Z17" s="88"/>
      <c r="AA17" s="88"/>
      <c r="AB17" s="88"/>
      <c r="AC17" s="88"/>
      <c r="AD17" s="88"/>
      <c r="AE17" s="88"/>
      <c r="AF17" s="87"/>
      <c r="AG17" s="87"/>
      <c r="AH17" s="87"/>
      <c r="AI17" s="87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</row>
    <row r="18" spans="1:63" x14ac:dyDescent="0.35">
      <c r="A18" s="87"/>
      <c r="B18" s="87"/>
      <c r="C18" s="87"/>
      <c r="D18" s="87"/>
      <c r="E18" s="87"/>
      <c r="F18" s="87"/>
      <c r="G18" s="87"/>
      <c r="H18" s="87"/>
      <c r="I18" s="87"/>
      <c r="J18" s="87"/>
      <c r="L18" s="87"/>
      <c r="M18" s="87"/>
      <c r="N18" s="87"/>
      <c r="O18" s="160"/>
      <c r="P18" s="87"/>
      <c r="Q18" s="87"/>
      <c r="R18" s="87"/>
      <c r="S18" s="87"/>
      <c r="T18" s="87"/>
      <c r="U18" s="87"/>
      <c r="V18" s="87"/>
      <c r="W18" s="88"/>
      <c r="X18" s="88"/>
      <c r="Y18" s="88"/>
      <c r="Z18" s="88"/>
      <c r="AA18" s="88"/>
      <c r="AB18" s="88"/>
      <c r="AC18" s="88"/>
      <c r="AD18" s="88"/>
      <c r="AE18" s="88"/>
      <c r="AF18" s="87"/>
      <c r="AG18" s="87"/>
      <c r="AH18" s="87"/>
      <c r="AI18" s="87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</row>
    <row r="19" spans="1:63" ht="33" customHeight="1" x14ac:dyDescent="0.35">
      <c r="A19" s="87"/>
      <c r="B19" s="91" t="s">
        <v>14</v>
      </c>
      <c r="C19" s="101" t="s">
        <v>13</v>
      </c>
      <c r="D19" s="101" t="s">
        <v>53</v>
      </c>
      <c r="E19" s="103" t="s">
        <v>21</v>
      </c>
      <c r="F19" s="103" t="s">
        <v>18</v>
      </c>
      <c r="G19" s="103" t="s">
        <v>19</v>
      </c>
      <c r="H19" s="103" t="s">
        <v>77</v>
      </c>
      <c r="I19" s="103" t="s">
        <v>20</v>
      </c>
      <c r="J19" s="103" t="s">
        <v>144</v>
      </c>
      <c r="L19" s="91" t="s">
        <v>14</v>
      </c>
      <c r="M19" s="101" t="s">
        <v>13</v>
      </c>
      <c r="N19" s="101" t="s">
        <v>53</v>
      </c>
      <c r="O19" s="103" t="s">
        <v>21</v>
      </c>
      <c r="P19" s="103" t="s">
        <v>18</v>
      </c>
      <c r="Q19" s="103" t="s">
        <v>19</v>
      </c>
      <c r="R19" s="103" t="s">
        <v>77</v>
      </c>
      <c r="S19" s="103" t="s">
        <v>20</v>
      </c>
      <c r="T19" s="103" t="s">
        <v>45</v>
      </c>
      <c r="U19" s="103" t="s">
        <v>144</v>
      </c>
      <c r="V19" s="87"/>
      <c r="W19" s="88"/>
      <c r="X19" s="88"/>
      <c r="Y19" s="88"/>
      <c r="Z19" s="88"/>
      <c r="AA19" s="88"/>
      <c r="AB19" s="88"/>
      <c r="AC19" s="88"/>
      <c r="AD19" s="88"/>
      <c r="AE19" s="88"/>
      <c r="AF19" s="87"/>
      <c r="AG19" s="87"/>
      <c r="AH19" s="87"/>
      <c r="AI19" s="87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</row>
    <row r="20" spans="1:63" x14ac:dyDescent="0.35">
      <c r="A20" s="198"/>
      <c r="B20" s="64">
        <f>IFERROR(INDEX('Option inputs'!$B$14:$B$26,MATCH($C20,'Option inputs'!$C$14:$C$26,0)),"")</f>
        <v>1</v>
      </c>
      <c r="C20" s="39" t="s">
        <v>91</v>
      </c>
      <c r="D20" s="183" t="s">
        <v>140</v>
      </c>
      <c r="E20" s="181">
        <v>683000000</v>
      </c>
      <c r="F20" s="179">
        <v>2021</v>
      </c>
      <c r="G20" s="179">
        <v>2024</v>
      </c>
      <c r="H20" s="179">
        <v>2025</v>
      </c>
      <c r="I20" s="180">
        <v>50</v>
      </c>
      <c r="J20" s="180">
        <f>H20+I20-1</f>
        <v>2074</v>
      </c>
      <c r="K20" s="199"/>
      <c r="L20" s="64">
        <f>IFERROR(INDEX('Option inputs'!$B$14:$B$26,MATCH($M20,'Option inputs'!$C$14:$C$26,0)),"")</f>
        <v>2</v>
      </c>
      <c r="M20" s="79" t="s">
        <v>92</v>
      </c>
      <c r="N20" s="151" t="s">
        <v>141</v>
      </c>
      <c r="O20" s="181">
        <v>117000000</v>
      </c>
      <c r="P20" s="179">
        <v>2028</v>
      </c>
      <c r="Q20" s="179">
        <v>2029</v>
      </c>
      <c r="R20" s="179">
        <v>2030</v>
      </c>
      <c r="S20" s="180">
        <v>40</v>
      </c>
      <c r="T20" s="180" t="s">
        <v>71</v>
      </c>
      <c r="U20" s="180">
        <f t="shared" ref="U20:U35" si="0">R20+S20-1</f>
        <v>2069</v>
      </c>
      <c r="V20" s="162"/>
      <c r="W20" s="162"/>
      <c r="X20" s="163"/>
      <c r="Y20" s="163"/>
      <c r="Z20" s="88"/>
      <c r="AA20" s="88"/>
      <c r="AB20" s="88"/>
      <c r="AC20" s="88"/>
      <c r="AD20" s="88"/>
      <c r="AE20" s="88"/>
      <c r="AF20" s="87"/>
      <c r="AG20" s="87"/>
      <c r="AH20" s="87"/>
      <c r="AI20" s="87"/>
      <c r="AL20" s="102"/>
      <c r="AM20" s="102"/>
      <c r="AN20" s="102"/>
      <c r="AO20" s="102"/>
      <c r="AP20" s="102"/>
      <c r="AQ20" s="102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</row>
    <row r="21" spans="1:63" x14ac:dyDescent="0.35">
      <c r="A21" s="198"/>
      <c r="B21" s="64">
        <f>IFERROR(INDEX('Option inputs'!$B$14:$B$26,MATCH($C21,'Option inputs'!$C$14:$C$26,0)),"")</f>
        <v>1</v>
      </c>
      <c r="C21" s="190" t="s">
        <v>91</v>
      </c>
      <c r="D21" s="191" t="s">
        <v>141</v>
      </c>
      <c r="E21" s="192">
        <v>112000000</v>
      </c>
      <c r="F21" s="193">
        <v>2021</v>
      </c>
      <c r="G21" s="193">
        <v>2024</v>
      </c>
      <c r="H21" s="193">
        <v>2025</v>
      </c>
      <c r="I21" s="193">
        <v>40</v>
      </c>
      <c r="J21" s="193">
        <f t="shared" ref="J21" si="1">H21+I21-1</f>
        <v>2064</v>
      </c>
      <c r="K21" s="199"/>
      <c r="L21" s="64">
        <f>IFERROR(INDEX('Option inputs'!$B$14:$B$26,MATCH($M21,'Option inputs'!$C$14:$C$26,0)),"")</f>
        <v>2</v>
      </c>
      <c r="M21" s="79" t="s">
        <v>92</v>
      </c>
      <c r="N21" s="151" t="s">
        <v>141</v>
      </c>
      <c r="O21" s="181">
        <v>117000000</v>
      </c>
      <c r="P21" s="179">
        <v>2025</v>
      </c>
      <c r="Q21" s="179">
        <v>2026</v>
      </c>
      <c r="R21" s="179">
        <v>2027</v>
      </c>
      <c r="S21" s="180">
        <v>40</v>
      </c>
      <c r="T21" s="180" t="s">
        <v>72</v>
      </c>
      <c r="U21" s="180">
        <f t="shared" si="0"/>
        <v>2066</v>
      </c>
      <c r="V21" s="162"/>
      <c r="W21" s="162"/>
      <c r="X21" s="163"/>
      <c r="Y21" s="163"/>
      <c r="Z21" s="88"/>
      <c r="AA21" s="88"/>
      <c r="AB21" s="88"/>
      <c r="AC21" s="88"/>
      <c r="AD21" s="88"/>
      <c r="AE21" s="88"/>
      <c r="AF21" s="87"/>
      <c r="AG21" s="87"/>
      <c r="AH21" s="87"/>
      <c r="AI21" s="87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</row>
    <row r="22" spans="1:63" x14ac:dyDescent="0.35">
      <c r="A22" s="198"/>
      <c r="B22" s="64">
        <f>IFERROR(INDEX('Option inputs'!$B$14:$B$26,MATCH($C22,'Option inputs'!$C$14:$C$26,0)),"")</f>
        <v>2</v>
      </c>
      <c r="C22" s="39" t="s">
        <v>92</v>
      </c>
      <c r="D22" s="183" t="s">
        <v>142</v>
      </c>
      <c r="E22" s="181">
        <v>845000000</v>
      </c>
      <c r="F22" s="179">
        <v>2021</v>
      </c>
      <c r="G22" s="179">
        <v>2024</v>
      </c>
      <c r="H22" s="179">
        <v>2025</v>
      </c>
      <c r="I22" s="180">
        <v>50</v>
      </c>
      <c r="J22" s="180">
        <v>2074</v>
      </c>
      <c r="K22" s="199"/>
      <c r="L22" s="64">
        <f>IFERROR(INDEX('Option inputs'!$B$14:$B$26,MATCH($M22,'Option inputs'!$C$14:$C$26,0)),"")</f>
        <v>2</v>
      </c>
      <c r="M22" s="79" t="s">
        <v>92</v>
      </c>
      <c r="N22" s="151" t="s">
        <v>141</v>
      </c>
      <c r="O22" s="181">
        <v>117000000</v>
      </c>
      <c r="P22" s="179">
        <v>2034</v>
      </c>
      <c r="Q22" s="179">
        <v>2035</v>
      </c>
      <c r="R22" s="179">
        <v>2036</v>
      </c>
      <c r="S22" s="180">
        <v>40</v>
      </c>
      <c r="T22" s="180" t="s">
        <v>73</v>
      </c>
      <c r="U22" s="180">
        <f t="shared" si="0"/>
        <v>2075</v>
      </c>
      <c r="V22" s="162"/>
      <c r="W22" s="162"/>
      <c r="X22" s="163"/>
      <c r="Y22" s="163"/>
      <c r="Z22" s="88"/>
      <c r="AA22" s="88"/>
      <c r="AB22" s="88"/>
      <c r="AC22" s="88"/>
      <c r="AD22" s="88"/>
      <c r="AE22" s="88"/>
      <c r="AF22" s="87"/>
      <c r="AG22" s="87"/>
      <c r="AH22" s="87"/>
      <c r="AI22" s="87"/>
      <c r="AL22" s="102"/>
      <c r="AM22" s="102"/>
      <c r="AN22" s="102"/>
      <c r="AO22" s="102"/>
      <c r="AP22" s="102"/>
      <c r="AQ22" s="102"/>
      <c r="AR22" s="102"/>
      <c r="AS22" s="102"/>
      <c r="AT22" s="102"/>
      <c r="AU22" s="102"/>
      <c r="AV22" s="102"/>
      <c r="AW22" s="102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</row>
    <row r="23" spans="1:63" x14ac:dyDescent="0.35">
      <c r="A23" s="198"/>
      <c r="B23" s="64">
        <f>IFERROR(INDEX('Option inputs'!$B$14:$B$26,MATCH($C23,'Option inputs'!$C$14:$C$26,0)),"")</f>
        <v>2</v>
      </c>
      <c r="C23" s="190" t="s">
        <v>92</v>
      </c>
      <c r="D23" s="191" t="s">
        <v>141</v>
      </c>
      <c r="E23" s="192">
        <v>112000000</v>
      </c>
      <c r="F23" s="193">
        <v>2021</v>
      </c>
      <c r="G23" s="193">
        <v>2024</v>
      </c>
      <c r="H23" s="193">
        <v>2025</v>
      </c>
      <c r="I23" s="193">
        <v>40</v>
      </c>
      <c r="J23" s="193">
        <v>2064</v>
      </c>
      <c r="K23" s="199"/>
      <c r="L23" s="64">
        <f>IFERROR(INDEX('Option inputs'!$B$14:$B$26,MATCH($M23,'Option inputs'!$C$14:$C$26,0)),"")</f>
        <v>2</v>
      </c>
      <c r="M23" s="190" t="s">
        <v>92</v>
      </c>
      <c r="N23" s="195" t="s">
        <v>141</v>
      </c>
      <c r="O23" s="192">
        <v>117000000</v>
      </c>
      <c r="P23" s="193">
        <v>2027</v>
      </c>
      <c r="Q23" s="193">
        <v>2028</v>
      </c>
      <c r="R23" s="193">
        <v>2029</v>
      </c>
      <c r="S23" s="193">
        <v>40</v>
      </c>
      <c r="T23" s="193" t="s">
        <v>80</v>
      </c>
      <c r="U23" s="193">
        <f t="shared" si="0"/>
        <v>2068</v>
      </c>
      <c r="V23" s="162"/>
      <c r="W23" s="162"/>
      <c r="X23" s="163"/>
      <c r="Y23" s="163"/>
      <c r="Z23" s="88"/>
      <c r="AA23" s="88"/>
      <c r="AB23" s="88"/>
      <c r="AC23" s="88"/>
      <c r="AD23" s="88"/>
      <c r="AE23" s="88"/>
      <c r="AF23" s="87"/>
      <c r="AG23" s="87"/>
      <c r="AH23" s="87"/>
      <c r="AI23" s="87"/>
      <c r="AL23" s="102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</row>
    <row r="24" spans="1:63" x14ac:dyDescent="0.35">
      <c r="A24" s="198"/>
      <c r="B24" s="64">
        <f>IFERROR(INDEX('Option inputs'!$B$14:$B$26,MATCH($C24,'Option inputs'!$C$14:$C$26,0)),"")</f>
        <v>3</v>
      </c>
      <c r="C24" s="158" t="s">
        <v>93</v>
      </c>
      <c r="D24" s="81" t="s">
        <v>142</v>
      </c>
      <c r="E24" s="151">
        <v>845000000</v>
      </c>
      <c r="F24" s="152">
        <v>2021</v>
      </c>
      <c r="G24" s="152">
        <v>2024</v>
      </c>
      <c r="H24" s="152">
        <v>2025</v>
      </c>
      <c r="I24" s="179">
        <v>50</v>
      </c>
      <c r="J24" s="179">
        <f t="shared" ref="J24:J49" si="2">H24+I24-1</f>
        <v>2074</v>
      </c>
      <c r="K24" s="199"/>
      <c r="L24" s="64">
        <f>IFERROR(INDEX('Option inputs'!$B$14:$B$26,MATCH($M24,'Option inputs'!$C$14:$C$26,0)),"")</f>
        <v>5</v>
      </c>
      <c r="M24" s="79" t="s">
        <v>143</v>
      </c>
      <c r="N24" s="151" t="s">
        <v>141</v>
      </c>
      <c r="O24" s="181">
        <v>208000000</v>
      </c>
      <c r="P24" s="179">
        <v>2028</v>
      </c>
      <c r="Q24" s="179">
        <v>2029</v>
      </c>
      <c r="R24" s="179">
        <v>2030</v>
      </c>
      <c r="S24" s="180">
        <v>40</v>
      </c>
      <c r="T24" s="180" t="s">
        <v>71</v>
      </c>
      <c r="U24" s="179">
        <f t="shared" si="0"/>
        <v>2069</v>
      </c>
      <c r="V24" s="162"/>
      <c r="W24" s="162"/>
      <c r="X24" s="163"/>
      <c r="Y24" s="163"/>
      <c r="Z24" s="88"/>
      <c r="AA24" s="88"/>
      <c r="AB24" s="88"/>
      <c r="AC24" s="88"/>
      <c r="AD24" s="88"/>
      <c r="AE24" s="88"/>
      <c r="AF24" s="87"/>
      <c r="AG24" s="87"/>
      <c r="AH24" s="87"/>
      <c r="AI24" s="87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</row>
    <row r="25" spans="1:63" x14ac:dyDescent="0.35">
      <c r="A25" s="198"/>
      <c r="B25" s="64">
        <f>IFERROR(INDEX('Option inputs'!$B$14:$B$26,MATCH($C25,'Option inputs'!$C$14:$C$26,0)),"")</f>
        <v>3</v>
      </c>
      <c r="C25" s="194" t="s">
        <v>93</v>
      </c>
      <c r="D25" s="191" t="s">
        <v>141</v>
      </c>
      <c r="E25" s="195">
        <v>215000000</v>
      </c>
      <c r="F25" s="196">
        <v>2021</v>
      </c>
      <c r="G25" s="196">
        <v>2024</v>
      </c>
      <c r="H25" s="196">
        <v>2025</v>
      </c>
      <c r="I25" s="193">
        <v>40</v>
      </c>
      <c r="J25" s="193">
        <f t="shared" si="2"/>
        <v>2064</v>
      </c>
      <c r="K25" s="199"/>
      <c r="L25" s="64">
        <f>IFERROR(INDEX('Option inputs'!$B$14:$B$26,MATCH($M25,'Option inputs'!$C$14:$C$26,0)),"")</f>
        <v>5</v>
      </c>
      <c r="M25" s="79" t="s">
        <v>143</v>
      </c>
      <c r="N25" s="151" t="s">
        <v>141</v>
      </c>
      <c r="O25" s="181">
        <v>208000000</v>
      </c>
      <c r="P25" s="179">
        <v>2025</v>
      </c>
      <c r="Q25" s="179">
        <v>2026</v>
      </c>
      <c r="R25" s="179">
        <v>2027</v>
      </c>
      <c r="S25" s="180">
        <v>40</v>
      </c>
      <c r="T25" s="180" t="s">
        <v>72</v>
      </c>
      <c r="U25" s="179">
        <f t="shared" si="0"/>
        <v>2066</v>
      </c>
      <c r="V25" s="162"/>
      <c r="W25" s="162"/>
      <c r="X25" s="163"/>
      <c r="Y25" s="163"/>
      <c r="Z25" s="88"/>
      <c r="AA25" s="88"/>
      <c r="AB25" s="88"/>
      <c r="AC25" s="88"/>
      <c r="AD25" s="88"/>
      <c r="AE25" s="88"/>
      <c r="AF25" s="87"/>
      <c r="AG25" s="87"/>
      <c r="AH25" s="87"/>
      <c r="AI25" s="87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</row>
    <row r="26" spans="1:63" x14ac:dyDescent="0.35">
      <c r="A26" s="198"/>
      <c r="B26" s="64">
        <f>IFERROR(INDEX('Option inputs'!$B$14:$B$26,MATCH($C26,'Option inputs'!$C$14:$C$26,0)),"")</f>
        <v>4</v>
      </c>
      <c r="C26" s="39" t="s">
        <v>106</v>
      </c>
      <c r="D26" s="183" t="s">
        <v>140</v>
      </c>
      <c r="E26" s="151">
        <v>882000000</v>
      </c>
      <c r="F26" s="152">
        <v>2021</v>
      </c>
      <c r="G26" s="152">
        <v>2024</v>
      </c>
      <c r="H26" s="152">
        <v>2025</v>
      </c>
      <c r="I26" s="179">
        <v>50</v>
      </c>
      <c r="J26" s="179">
        <f t="shared" si="2"/>
        <v>2074</v>
      </c>
      <c r="K26" s="199"/>
      <c r="L26" s="64">
        <f>IFERROR(INDEX('Option inputs'!$B$14:$B$26,MATCH($M26,'Option inputs'!$C$14:$C$26,0)),"")</f>
        <v>5</v>
      </c>
      <c r="M26" s="79" t="s">
        <v>143</v>
      </c>
      <c r="N26" s="151" t="s">
        <v>141</v>
      </c>
      <c r="O26" s="181">
        <v>208000000</v>
      </c>
      <c r="P26" s="179">
        <v>2034</v>
      </c>
      <c r="Q26" s="179">
        <v>2035</v>
      </c>
      <c r="R26" s="179">
        <v>2036</v>
      </c>
      <c r="S26" s="180">
        <v>40</v>
      </c>
      <c r="T26" s="180" t="s">
        <v>73</v>
      </c>
      <c r="U26" s="179">
        <f t="shared" si="0"/>
        <v>2075</v>
      </c>
      <c r="V26" s="162"/>
      <c r="W26" s="162"/>
      <c r="X26" s="163"/>
      <c r="Y26" s="163"/>
      <c r="Z26" s="88"/>
      <c r="AA26" s="88"/>
      <c r="AB26" s="88"/>
      <c r="AC26" s="88"/>
      <c r="AD26" s="88"/>
      <c r="AE26" s="88"/>
      <c r="AF26" s="87"/>
      <c r="AG26" s="87"/>
      <c r="AH26" s="87"/>
      <c r="AI26" s="87"/>
      <c r="AL26" s="102"/>
      <c r="AM26" s="102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</row>
    <row r="27" spans="1:63" x14ac:dyDescent="0.35">
      <c r="A27" s="198"/>
      <c r="B27" s="64">
        <f>IFERROR(INDEX('Option inputs'!$B$14:$B$26,MATCH($C27,'Option inputs'!$C$14:$C$26,0)),"")</f>
        <v>4</v>
      </c>
      <c r="C27" s="194" t="s">
        <v>106</v>
      </c>
      <c r="D27" s="191" t="s">
        <v>141</v>
      </c>
      <c r="E27" s="195">
        <v>363000000</v>
      </c>
      <c r="F27" s="196">
        <v>2021</v>
      </c>
      <c r="G27" s="196">
        <v>2024</v>
      </c>
      <c r="H27" s="196">
        <v>2025</v>
      </c>
      <c r="I27" s="193">
        <v>40</v>
      </c>
      <c r="J27" s="193">
        <f t="shared" si="2"/>
        <v>2064</v>
      </c>
      <c r="K27" s="199"/>
      <c r="L27" s="64">
        <f>IFERROR(INDEX('Option inputs'!$B$14:$B$26,MATCH($M27,'Option inputs'!$C$14:$C$26,0)),"")</f>
        <v>5</v>
      </c>
      <c r="M27" s="190" t="s">
        <v>143</v>
      </c>
      <c r="N27" s="195" t="s">
        <v>141</v>
      </c>
      <c r="O27" s="192">
        <v>208000000</v>
      </c>
      <c r="P27" s="193">
        <v>2027</v>
      </c>
      <c r="Q27" s="193">
        <v>2028</v>
      </c>
      <c r="R27" s="193">
        <v>2029</v>
      </c>
      <c r="S27" s="193">
        <v>40</v>
      </c>
      <c r="T27" s="193" t="s">
        <v>80</v>
      </c>
      <c r="U27" s="193">
        <f t="shared" si="0"/>
        <v>2068</v>
      </c>
      <c r="V27" s="162"/>
      <c r="W27" s="162"/>
      <c r="X27" s="163"/>
      <c r="Y27" s="163"/>
      <c r="Z27" s="88"/>
      <c r="AA27" s="88"/>
      <c r="AB27" s="88"/>
      <c r="AC27" s="88"/>
      <c r="AD27" s="88"/>
      <c r="AE27" s="88"/>
      <c r="AF27" s="87"/>
      <c r="AG27" s="87"/>
      <c r="AH27" s="87"/>
      <c r="AI27" s="87"/>
      <c r="AM27" s="102"/>
    </row>
    <row r="28" spans="1:63" x14ac:dyDescent="0.35">
      <c r="A28" s="198"/>
      <c r="B28" s="64">
        <f>IFERROR(INDEX('Option inputs'!$B$14:$B$26,MATCH($C28,'Option inputs'!$C$14:$C$26,0)),"")</f>
        <v>5</v>
      </c>
      <c r="C28" s="140" t="s">
        <v>143</v>
      </c>
      <c r="D28" s="183" t="s">
        <v>140</v>
      </c>
      <c r="E28" s="151">
        <v>1080000000</v>
      </c>
      <c r="F28" s="152">
        <v>2021</v>
      </c>
      <c r="G28" s="152">
        <v>2024</v>
      </c>
      <c r="H28" s="152">
        <v>2025</v>
      </c>
      <c r="I28" s="179">
        <v>50</v>
      </c>
      <c r="J28" s="179">
        <f t="shared" si="2"/>
        <v>2074</v>
      </c>
      <c r="K28" s="199"/>
      <c r="L28" s="64">
        <f>IFERROR(INDEX('Option inputs'!$B$14:$B$26,MATCH($M28,'Option inputs'!$C$14:$C$26,0)),"")</f>
        <v>8</v>
      </c>
      <c r="M28" s="39" t="s">
        <v>108</v>
      </c>
      <c r="N28" s="39" t="s">
        <v>141</v>
      </c>
      <c r="O28" s="181">
        <v>166000000</v>
      </c>
      <c r="P28" s="179">
        <v>2027</v>
      </c>
      <c r="Q28" s="179">
        <v>2029</v>
      </c>
      <c r="R28" s="179">
        <v>2030</v>
      </c>
      <c r="S28" s="179">
        <v>40</v>
      </c>
      <c r="T28" s="180" t="s">
        <v>71</v>
      </c>
      <c r="U28" s="179">
        <f t="shared" si="0"/>
        <v>2069</v>
      </c>
      <c r="V28" s="162"/>
      <c r="W28" s="162"/>
      <c r="X28" s="163"/>
      <c r="Y28" s="163"/>
      <c r="Z28" s="88"/>
      <c r="AA28" s="88"/>
      <c r="AB28" s="88"/>
      <c r="AC28" s="88"/>
      <c r="AD28" s="88"/>
      <c r="AE28" s="88"/>
      <c r="AF28" s="87"/>
      <c r="AG28" s="87"/>
      <c r="AH28" s="87"/>
      <c r="AI28" s="87"/>
      <c r="AM28" s="102"/>
    </row>
    <row r="29" spans="1:63" x14ac:dyDescent="0.35">
      <c r="A29" s="198"/>
      <c r="B29" s="64">
        <f>IFERROR(INDEX('Option inputs'!$B$14:$B$26,MATCH($C29,'Option inputs'!$C$14:$C$26,0)),"")</f>
        <v>5</v>
      </c>
      <c r="C29" s="190" t="s">
        <v>143</v>
      </c>
      <c r="D29" s="191" t="s">
        <v>141</v>
      </c>
      <c r="E29" s="195">
        <v>343000000</v>
      </c>
      <c r="F29" s="196">
        <v>2021</v>
      </c>
      <c r="G29" s="196">
        <v>2024</v>
      </c>
      <c r="H29" s="196">
        <v>2025</v>
      </c>
      <c r="I29" s="193">
        <v>40</v>
      </c>
      <c r="J29" s="193">
        <f t="shared" si="2"/>
        <v>2064</v>
      </c>
      <c r="K29" s="199"/>
      <c r="L29" s="64">
        <f>IFERROR(INDEX('Option inputs'!$B$14:$B$26,MATCH($M29,'Option inputs'!$C$14:$C$26,0)),"")</f>
        <v>8</v>
      </c>
      <c r="M29" s="39" t="s">
        <v>108</v>
      </c>
      <c r="N29" s="39" t="s">
        <v>141</v>
      </c>
      <c r="O29" s="181">
        <v>166000000</v>
      </c>
      <c r="P29" s="179">
        <v>2024</v>
      </c>
      <c r="Q29" s="179">
        <v>2026</v>
      </c>
      <c r="R29" s="179">
        <v>2027</v>
      </c>
      <c r="S29" s="179">
        <v>40</v>
      </c>
      <c r="T29" s="180" t="s">
        <v>72</v>
      </c>
      <c r="U29" s="179">
        <f t="shared" si="0"/>
        <v>2066</v>
      </c>
      <c r="V29" s="162"/>
      <c r="W29" s="162"/>
      <c r="X29" s="163"/>
      <c r="Y29" s="163"/>
      <c r="Z29" s="88"/>
      <c r="AA29" s="88"/>
      <c r="AB29" s="88"/>
      <c r="AC29" s="88"/>
      <c r="AD29" s="88"/>
      <c r="AE29" s="88"/>
      <c r="AF29" s="87"/>
      <c r="AG29" s="87"/>
      <c r="AH29" s="87"/>
      <c r="AI29" s="87"/>
      <c r="AM29" s="102"/>
    </row>
    <row r="30" spans="1:63" x14ac:dyDescent="0.35">
      <c r="A30" s="198"/>
      <c r="B30" s="64">
        <f>IFERROR(INDEX('Option inputs'!$B$14:$B$26,MATCH($C30,'Option inputs'!$C$14:$C$26,0)),"")</f>
        <v>6</v>
      </c>
      <c r="C30" s="79" t="s">
        <v>107</v>
      </c>
      <c r="D30" s="183" t="s">
        <v>140</v>
      </c>
      <c r="E30" s="151">
        <v>1080000000</v>
      </c>
      <c r="F30" s="152">
        <v>2021</v>
      </c>
      <c r="G30" s="152">
        <v>2024</v>
      </c>
      <c r="H30" s="152">
        <v>2025</v>
      </c>
      <c r="I30" s="179">
        <v>50</v>
      </c>
      <c r="J30" s="179">
        <f t="shared" si="2"/>
        <v>2074</v>
      </c>
      <c r="K30" s="199"/>
      <c r="L30" s="64">
        <f>IFERROR(INDEX('Option inputs'!$B$14:$B$26,MATCH($M30,'Option inputs'!$C$14:$C$26,0)),"")</f>
        <v>8</v>
      </c>
      <c r="M30" s="39" t="s">
        <v>108</v>
      </c>
      <c r="N30" s="39" t="s">
        <v>141</v>
      </c>
      <c r="O30" s="181">
        <v>166000000</v>
      </c>
      <c r="P30" s="179">
        <v>2033</v>
      </c>
      <c r="Q30" s="179">
        <v>2035</v>
      </c>
      <c r="R30" s="179">
        <v>2036</v>
      </c>
      <c r="S30" s="179">
        <v>40</v>
      </c>
      <c r="T30" s="180" t="s">
        <v>73</v>
      </c>
      <c r="U30" s="179">
        <f t="shared" si="0"/>
        <v>2075</v>
      </c>
      <c r="V30" s="162"/>
      <c r="W30" s="162"/>
      <c r="X30" s="163"/>
      <c r="Y30" s="163"/>
      <c r="Z30" s="88"/>
      <c r="AA30" s="88"/>
      <c r="AB30" s="88"/>
      <c r="AC30" s="88"/>
      <c r="AD30" s="88"/>
      <c r="AE30" s="88"/>
      <c r="AF30" s="87"/>
      <c r="AG30" s="87"/>
      <c r="AH30" s="87"/>
      <c r="AI30" s="87"/>
    </row>
    <row r="31" spans="1:63" x14ac:dyDescent="0.35">
      <c r="A31" s="198"/>
      <c r="B31" s="64">
        <f>IFERROR(INDEX('Option inputs'!$B$14:$B$26,MATCH($C31,'Option inputs'!$C$14:$C$26,0)),"")</f>
        <v>6</v>
      </c>
      <c r="C31" s="190" t="s">
        <v>107</v>
      </c>
      <c r="D31" s="191" t="s">
        <v>141</v>
      </c>
      <c r="E31" s="195">
        <v>307000000</v>
      </c>
      <c r="F31" s="196">
        <v>2021</v>
      </c>
      <c r="G31" s="196">
        <v>2024</v>
      </c>
      <c r="H31" s="196">
        <v>2025</v>
      </c>
      <c r="I31" s="193">
        <v>40</v>
      </c>
      <c r="J31" s="193">
        <f t="shared" si="2"/>
        <v>2064</v>
      </c>
      <c r="K31" s="199"/>
      <c r="L31" s="64">
        <f>IFERROR(INDEX('Option inputs'!$B$14:$B$26,MATCH($M31,'Option inputs'!$C$14:$C$26,0)),"")</f>
        <v>8</v>
      </c>
      <c r="M31" s="190" t="s">
        <v>108</v>
      </c>
      <c r="N31" s="190" t="s">
        <v>141</v>
      </c>
      <c r="O31" s="192">
        <v>166000000</v>
      </c>
      <c r="P31" s="193">
        <v>2026</v>
      </c>
      <c r="Q31" s="193">
        <v>2028</v>
      </c>
      <c r="R31" s="193">
        <v>2029</v>
      </c>
      <c r="S31" s="193">
        <v>40</v>
      </c>
      <c r="T31" s="193" t="s">
        <v>80</v>
      </c>
      <c r="U31" s="193">
        <f t="shared" si="0"/>
        <v>2068</v>
      </c>
      <c r="V31" s="162"/>
      <c r="W31" s="162"/>
      <c r="X31" s="163"/>
      <c r="Y31" s="163"/>
      <c r="Z31" s="88"/>
      <c r="AA31" s="88"/>
      <c r="AB31" s="88"/>
      <c r="AC31" s="88"/>
      <c r="AD31" s="88"/>
      <c r="AE31" s="88"/>
      <c r="AF31" s="87"/>
      <c r="AG31" s="87"/>
      <c r="AH31" s="87"/>
      <c r="AI31" s="87"/>
    </row>
    <row r="32" spans="1:63" x14ac:dyDescent="0.35">
      <c r="A32" s="198"/>
      <c r="B32" s="64">
        <f>IFERROR(INDEX('Option inputs'!$B$14:$B$26,MATCH($C32,'Option inputs'!$C$14:$C$26,0)),"")</f>
        <v>7</v>
      </c>
      <c r="C32" s="79" t="s">
        <v>78</v>
      </c>
      <c r="D32" s="81" t="s">
        <v>140</v>
      </c>
      <c r="E32" s="151">
        <v>883000000</v>
      </c>
      <c r="F32" s="152">
        <v>2021</v>
      </c>
      <c r="G32" s="152">
        <v>2024</v>
      </c>
      <c r="H32" s="152">
        <v>2025</v>
      </c>
      <c r="I32" s="179">
        <v>50</v>
      </c>
      <c r="J32" s="179">
        <f t="shared" si="2"/>
        <v>2074</v>
      </c>
      <c r="K32" s="199"/>
      <c r="L32" s="64">
        <f>IFERROR(INDEX('Option inputs'!$B$14:$B$26,MATCH($M32,'Option inputs'!$C$14:$C$26,0)),"")</f>
        <v>11</v>
      </c>
      <c r="M32" s="39" t="s">
        <v>111</v>
      </c>
      <c r="N32" s="39" t="s">
        <v>141</v>
      </c>
      <c r="O32" s="181">
        <v>343000000</v>
      </c>
      <c r="P32" s="179">
        <v>2027</v>
      </c>
      <c r="Q32" s="179">
        <v>2029</v>
      </c>
      <c r="R32" s="179">
        <v>2030</v>
      </c>
      <c r="S32" s="179">
        <v>40</v>
      </c>
      <c r="T32" s="180" t="s">
        <v>71</v>
      </c>
      <c r="U32" s="179">
        <f t="shared" si="0"/>
        <v>2069</v>
      </c>
      <c r="V32" s="162"/>
      <c r="W32" s="162"/>
      <c r="X32" s="163"/>
      <c r="Y32" s="163"/>
      <c r="Z32" s="88"/>
      <c r="AA32" s="88"/>
      <c r="AB32" s="88"/>
      <c r="AC32" s="88"/>
      <c r="AD32" s="88"/>
      <c r="AE32" s="88"/>
      <c r="AF32" s="87"/>
      <c r="AG32" s="188"/>
      <c r="AH32" s="189"/>
      <c r="AI32" s="87"/>
      <c r="AK32" s="187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</row>
    <row r="33" spans="1:63" x14ac:dyDescent="0.35">
      <c r="A33" s="198"/>
      <c r="B33" s="64">
        <f>IFERROR(INDEX('Option inputs'!$B$14:$B$26,MATCH($C33,'Option inputs'!$C$14:$C$26,0)),"")</f>
        <v>7</v>
      </c>
      <c r="C33" s="190" t="s">
        <v>78</v>
      </c>
      <c r="D33" s="191" t="s">
        <v>141</v>
      </c>
      <c r="E33" s="195">
        <v>131000000</v>
      </c>
      <c r="F33" s="196">
        <v>2021</v>
      </c>
      <c r="G33" s="196">
        <v>2024</v>
      </c>
      <c r="H33" s="196">
        <v>2025</v>
      </c>
      <c r="I33" s="193">
        <v>40</v>
      </c>
      <c r="J33" s="193">
        <f t="shared" si="2"/>
        <v>2064</v>
      </c>
      <c r="K33" s="199"/>
      <c r="L33" s="64">
        <f>IFERROR(INDEX('Option inputs'!$B$14:$B$26,MATCH($M33,'Option inputs'!$C$14:$C$26,0)),"")</f>
        <v>11</v>
      </c>
      <c r="M33" s="39" t="s">
        <v>111</v>
      </c>
      <c r="N33" s="39" t="s">
        <v>141</v>
      </c>
      <c r="O33" s="181">
        <v>343000000</v>
      </c>
      <c r="P33" s="179">
        <v>2024</v>
      </c>
      <c r="Q33" s="179">
        <v>2026</v>
      </c>
      <c r="R33" s="179">
        <v>2027</v>
      </c>
      <c r="S33" s="179">
        <v>40</v>
      </c>
      <c r="T33" s="180" t="s">
        <v>72</v>
      </c>
      <c r="U33" s="179">
        <f t="shared" si="0"/>
        <v>2066</v>
      </c>
      <c r="V33" s="162"/>
      <c r="W33" s="162"/>
      <c r="X33" s="163"/>
      <c r="Y33" s="163"/>
      <c r="Z33" s="88"/>
      <c r="AA33" s="88"/>
      <c r="AB33" s="88"/>
      <c r="AC33" s="88"/>
      <c r="AD33" s="88"/>
      <c r="AE33" s="88"/>
      <c r="AF33" s="87"/>
      <c r="AG33" s="188"/>
      <c r="AH33" s="189"/>
      <c r="AI33" s="87"/>
      <c r="AJ33" s="187"/>
      <c r="AK33" s="187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</row>
    <row r="34" spans="1:63" x14ac:dyDescent="0.35">
      <c r="A34" s="198"/>
      <c r="B34" s="64">
        <f>IFERROR(INDEX('Option inputs'!$B$14:$B$26,MATCH($C34,'Option inputs'!$C$14:$C$26,0)),"")</f>
        <v>8</v>
      </c>
      <c r="C34" s="79" t="s">
        <v>108</v>
      </c>
      <c r="D34" s="183" t="s">
        <v>140</v>
      </c>
      <c r="E34" s="151">
        <v>1090000000</v>
      </c>
      <c r="F34" s="152">
        <v>2021</v>
      </c>
      <c r="G34" s="152">
        <v>2024</v>
      </c>
      <c r="H34" s="152">
        <v>2025</v>
      </c>
      <c r="I34" s="179">
        <v>50</v>
      </c>
      <c r="J34" s="179">
        <f t="shared" si="2"/>
        <v>2074</v>
      </c>
      <c r="K34" s="199"/>
      <c r="L34" s="64">
        <f>IFERROR(INDEX('Option inputs'!$B$14:$B$26,MATCH($M34,'Option inputs'!$C$14:$C$26,0)),"")</f>
        <v>11</v>
      </c>
      <c r="M34" s="39" t="s">
        <v>111</v>
      </c>
      <c r="N34" s="39" t="s">
        <v>141</v>
      </c>
      <c r="O34" s="181">
        <v>343000000</v>
      </c>
      <c r="P34" s="179">
        <v>2033</v>
      </c>
      <c r="Q34" s="179">
        <v>2035</v>
      </c>
      <c r="R34" s="179">
        <v>2036</v>
      </c>
      <c r="S34" s="179">
        <v>40</v>
      </c>
      <c r="T34" s="180" t="s">
        <v>73</v>
      </c>
      <c r="U34" s="179">
        <f t="shared" si="0"/>
        <v>2075</v>
      </c>
      <c r="V34" s="162"/>
      <c r="W34" s="162"/>
      <c r="X34" s="163"/>
      <c r="Y34" s="163"/>
      <c r="Z34" s="88"/>
      <c r="AA34" s="88"/>
      <c r="AB34" s="88"/>
      <c r="AC34" s="88"/>
      <c r="AD34" s="88"/>
      <c r="AE34" s="88"/>
      <c r="AF34" s="87"/>
      <c r="AG34" s="188"/>
      <c r="AH34" s="189"/>
      <c r="AI34" s="87"/>
      <c r="AJ34" s="187"/>
      <c r="AK34" s="187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</row>
    <row r="35" spans="1:63" x14ac:dyDescent="0.35">
      <c r="A35" s="198"/>
      <c r="B35" s="64">
        <f>IFERROR(INDEX('Option inputs'!$B$14:$B$26,MATCH($C35,'Option inputs'!$C$14:$C$26,0)),"")</f>
        <v>8</v>
      </c>
      <c r="C35" s="190" t="s">
        <v>108</v>
      </c>
      <c r="D35" s="191" t="s">
        <v>141</v>
      </c>
      <c r="E35" s="195">
        <v>131000000</v>
      </c>
      <c r="F35" s="196">
        <v>2021</v>
      </c>
      <c r="G35" s="196">
        <v>2024</v>
      </c>
      <c r="H35" s="196">
        <v>2025</v>
      </c>
      <c r="I35" s="193">
        <v>40</v>
      </c>
      <c r="J35" s="193">
        <f t="shared" si="2"/>
        <v>2064</v>
      </c>
      <c r="K35" s="199"/>
      <c r="L35" s="64">
        <f>IFERROR(INDEX('Option inputs'!$B$14:$B$26,MATCH($M35,'Option inputs'!$C$14:$C$26,0)),"")</f>
        <v>11</v>
      </c>
      <c r="M35" s="190" t="s">
        <v>111</v>
      </c>
      <c r="N35" s="190" t="s">
        <v>141</v>
      </c>
      <c r="O35" s="192">
        <v>343000000</v>
      </c>
      <c r="P35" s="193">
        <v>2026</v>
      </c>
      <c r="Q35" s="193">
        <v>2028</v>
      </c>
      <c r="R35" s="193">
        <v>2029</v>
      </c>
      <c r="S35" s="193">
        <v>40</v>
      </c>
      <c r="T35" s="193" t="s">
        <v>80</v>
      </c>
      <c r="U35" s="193">
        <f t="shared" si="0"/>
        <v>2068</v>
      </c>
      <c r="V35" s="162"/>
      <c r="W35" s="162"/>
      <c r="X35" s="163"/>
      <c r="Y35" s="163"/>
      <c r="Z35" s="88"/>
      <c r="AA35" s="88"/>
      <c r="AB35" s="88"/>
      <c r="AC35" s="88"/>
      <c r="AD35" s="88"/>
      <c r="AE35" s="88"/>
      <c r="AF35" s="87"/>
      <c r="AG35" s="188"/>
      <c r="AH35" s="189"/>
      <c r="AI35" s="87"/>
      <c r="AJ35" s="187"/>
      <c r="AK35" s="187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</row>
    <row r="36" spans="1:63" x14ac:dyDescent="0.35">
      <c r="A36" s="198"/>
      <c r="B36" s="64">
        <f>IFERROR(INDEX('Option inputs'!$B$14:$B$26,MATCH($C36,'Option inputs'!$C$14:$C$26,0)),"")</f>
        <v>9</v>
      </c>
      <c r="C36" s="79" t="s">
        <v>109</v>
      </c>
      <c r="D36" s="183" t="s">
        <v>140</v>
      </c>
      <c r="E36" s="151">
        <v>1090000000</v>
      </c>
      <c r="F36" s="152">
        <v>2021</v>
      </c>
      <c r="G36" s="152">
        <v>2024</v>
      </c>
      <c r="H36" s="152">
        <v>2025</v>
      </c>
      <c r="I36" s="179">
        <v>50</v>
      </c>
      <c r="J36" s="179">
        <f t="shared" si="2"/>
        <v>2074</v>
      </c>
      <c r="K36" s="199"/>
      <c r="L36" s="64" t="str">
        <f>IFERROR(INDEX('Option inputs'!$B$14:$B$26,MATCH($M36,'Option inputs'!$C$14:$C$26,0)),"")</f>
        <v/>
      </c>
      <c r="M36" s="140"/>
      <c r="N36" s="39"/>
      <c r="O36" s="181"/>
      <c r="P36" s="179"/>
      <c r="Q36" s="179"/>
      <c r="R36" s="179"/>
      <c r="S36" s="179"/>
      <c r="T36" s="180"/>
      <c r="U36" s="179"/>
      <c r="V36" s="162"/>
      <c r="W36" s="88"/>
      <c r="X36" s="88"/>
      <c r="Y36" s="88"/>
      <c r="Z36" s="88"/>
      <c r="AA36" s="88"/>
      <c r="AB36" s="88"/>
      <c r="AC36" s="88"/>
      <c r="AD36" s="88"/>
      <c r="AE36" s="88"/>
      <c r="AF36" s="87"/>
      <c r="AG36" s="188"/>
      <c r="AH36" s="189"/>
      <c r="AI36" s="87"/>
      <c r="AJ36" s="187"/>
      <c r="AK36" s="187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</row>
    <row r="37" spans="1:63" x14ac:dyDescent="0.35">
      <c r="A37" s="198"/>
      <c r="B37" s="64">
        <f>IFERROR(INDEX('Option inputs'!$B$14:$B$26,MATCH($C37,'Option inputs'!$C$14:$C$26,0)),"")</f>
        <v>9</v>
      </c>
      <c r="C37" s="190" t="s">
        <v>109</v>
      </c>
      <c r="D37" s="191" t="s">
        <v>141</v>
      </c>
      <c r="E37" s="195">
        <v>265000000</v>
      </c>
      <c r="F37" s="196">
        <v>2021</v>
      </c>
      <c r="G37" s="196">
        <v>2024</v>
      </c>
      <c r="H37" s="196">
        <v>2025</v>
      </c>
      <c r="I37" s="193">
        <v>40</v>
      </c>
      <c r="J37" s="193">
        <f t="shared" si="2"/>
        <v>2064</v>
      </c>
      <c r="K37" s="199"/>
      <c r="L37" s="64" t="str">
        <f>IFERROR(INDEX('Option inputs'!$B$14:$B$26,MATCH($M37,'Option inputs'!$C$14:$C$26,0)),"")</f>
        <v/>
      </c>
      <c r="M37" s="140"/>
      <c r="N37" s="39"/>
      <c r="O37" s="181"/>
      <c r="P37" s="179"/>
      <c r="Q37" s="179"/>
      <c r="R37" s="179"/>
      <c r="S37" s="179"/>
      <c r="T37" s="180"/>
      <c r="U37" s="179"/>
      <c r="V37" s="162"/>
      <c r="W37" s="88"/>
      <c r="X37" s="88"/>
      <c r="Y37" s="88"/>
      <c r="Z37" s="88"/>
      <c r="AA37" s="88"/>
      <c r="AB37" s="88"/>
      <c r="AC37" s="88"/>
      <c r="AD37" s="88"/>
      <c r="AE37" s="88"/>
      <c r="AF37" s="87"/>
      <c r="AG37" s="188"/>
      <c r="AH37" s="189"/>
      <c r="AI37" s="87"/>
      <c r="AJ37" s="187"/>
      <c r="AK37" s="187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</row>
    <row r="38" spans="1:63" x14ac:dyDescent="0.35">
      <c r="A38" s="198"/>
      <c r="B38" s="64">
        <f>IFERROR(INDEX('Option inputs'!$B$14:$B$26,MATCH($C38,'Option inputs'!$C$14:$C$26,0)),"")</f>
        <v>10</v>
      </c>
      <c r="C38" s="79" t="s">
        <v>110</v>
      </c>
      <c r="D38" s="183" t="s">
        <v>140</v>
      </c>
      <c r="E38" s="151">
        <v>883000000</v>
      </c>
      <c r="F38" s="152">
        <v>2021</v>
      </c>
      <c r="G38" s="152">
        <v>2024</v>
      </c>
      <c r="H38" s="152">
        <v>2025</v>
      </c>
      <c r="I38" s="179">
        <v>50</v>
      </c>
      <c r="J38" s="179">
        <f t="shared" si="2"/>
        <v>2074</v>
      </c>
      <c r="K38" s="199"/>
      <c r="L38" s="64" t="str">
        <f>IFERROR(INDEX('Option inputs'!$B$14:$B$26,MATCH($M38,'Option inputs'!$C$14:$C$26,0)),"")</f>
        <v/>
      </c>
      <c r="M38" s="140"/>
      <c r="N38" s="79"/>
      <c r="O38" s="181"/>
      <c r="P38" s="179"/>
      <c r="Q38" s="179"/>
      <c r="R38" s="179"/>
      <c r="S38" s="179"/>
      <c r="T38" s="180"/>
      <c r="U38" s="179"/>
      <c r="V38" s="162"/>
      <c r="W38" s="88"/>
      <c r="X38" s="88"/>
      <c r="Y38" s="88"/>
      <c r="Z38" s="88"/>
      <c r="AA38" s="88"/>
      <c r="AB38" s="88"/>
      <c r="AC38" s="88"/>
      <c r="AD38" s="88"/>
      <c r="AE38" s="88"/>
      <c r="AF38" s="87"/>
      <c r="AG38" s="188"/>
      <c r="AH38" s="189"/>
      <c r="AI38" s="87"/>
      <c r="AJ38" s="187"/>
      <c r="AK38" s="187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</row>
    <row r="39" spans="1:63" x14ac:dyDescent="0.35">
      <c r="A39" s="198"/>
      <c r="B39" s="64">
        <f>IFERROR(INDEX('Option inputs'!$B$14:$B$26,MATCH($C39,'Option inputs'!$C$14:$C$26,0)),"")</f>
        <v>10</v>
      </c>
      <c r="C39" s="79" t="s">
        <v>110</v>
      </c>
      <c r="D39" s="183" t="s">
        <v>141</v>
      </c>
      <c r="E39" s="151">
        <v>132000000</v>
      </c>
      <c r="F39" s="152">
        <v>2021</v>
      </c>
      <c r="G39" s="152">
        <v>2024</v>
      </c>
      <c r="H39" s="152">
        <v>2025</v>
      </c>
      <c r="I39" s="179">
        <v>40</v>
      </c>
      <c r="J39" s="179">
        <f t="shared" si="2"/>
        <v>2064</v>
      </c>
      <c r="K39" s="199"/>
      <c r="L39" s="64" t="str">
        <f>IFERROR(INDEX('Option inputs'!$B$14:$B$26,MATCH($M39,'Option inputs'!$C$14:$C$26,0)),"")</f>
        <v/>
      </c>
      <c r="M39" s="140"/>
      <c r="N39" s="39"/>
      <c r="O39" s="181"/>
      <c r="P39" s="179"/>
      <c r="Q39" s="179"/>
      <c r="R39" s="179"/>
      <c r="S39" s="179"/>
      <c r="T39" s="180"/>
      <c r="U39" s="179"/>
      <c r="V39" s="162"/>
      <c r="W39" s="88"/>
      <c r="X39" s="88"/>
      <c r="Y39" s="88"/>
      <c r="Z39" s="88"/>
      <c r="AA39" s="88"/>
      <c r="AB39" s="88"/>
      <c r="AC39" s="88"/>
      <c r="AD39" s="88"/>
      <c r="AE39" s="88"/>
      <c r="AF39" s="87"/>
      <c r="AG39" s="188"/>
      <c r="AH39" s="189"/>
      <c r="AI39" s="87"/>
      <c r="AJ39" s="187"/>
      <c r="AK39" s="187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</row>
    <row r="40" spans="1:63" x14ac:dyDescent="0.35">
      <c r="A40" s="198"/>
      <c r="B40" s="64">
        <f>IFERROR(INDEX('Option inputs'!$B$14:$B$26,MATCH($C40,'Option inputs'!$C$14:$C$26,0)),"")</f>
        <v>10</v>
      </c>
      <c r="C40" s="79" t="s">
        <v>110</v>
      </c>
      <c r="D40" s="183" t="s">
        <v>140</v>
      </c>
      <c r="E40" s="151">
        <v>306000000</v>
      </c>
      <c r="F40" s="152">
        <v>2022</v>
      </c>
      <c r="G40" s="152">
        <v>2025</v>
      </c>
      <c r="H40" s="152">
        <v>2026</v>
      </c>
      <c r="I40" s="179">
        <v>50</v>
      </c>
      <c r="J40" s="179">
        <f t="shared" si="2"/>
        <v>2075</v>
      </c>
      <c r="K40" s="199"/>
      <c r="L40" s="64" t="str">
        <f>IFERROR(INDEX('Option inputs'!$B$14:$B$26,MATCH($M40,'Option inputs'!$C$14:$C$26,0)),"")</f>
        <v/>
      </c>
      <c r="M40" s="79"/>
      <c r="N40" s="39"/>
      <c r="O40" s="181"/>
      <c r="P40" s="179"/>
      <c r="Q40" s="179"/>
      <c r="R40" s="179"/>
      <c r="S40" s="179"/>
      <c r="T40" s="180"/>
      <c r="U40" s="179"/>
      <c r="V40" s="162"/>
      <c r="W40" s="88"/>
      <c r="X40" s="88"/>
      <c r="Y40" s="88"/>
      <c r="Z40" s="88"/>
      <c r="AA40" s="88"/>
      <c r="AB40" s="88"/>
      <c r="AC40" s="88"/>
      <c r="AD40" s="88"/>
      <c r="AE40" s="88"/>
      <c r="AF40" s="87"/>
      <c r="AG40" s="188"/>
      <c r="AH40" s="189"/>
      <c r="AI40" s="87"/>
      <c r="AJ40" s="187"/>
      <c r="AK40" s="187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</row>
    <row r="41" spans="1:63" x14ac:dyDescent="0.35">
      <c r="A41" s="198"/>
      <c r="B41" s="64">
        <f>IFERROR(INDEX('Option inputs'!$B$14:$B$26,MATCH($C41,'Option inputs'!$C$14:$C$26,0)),"")</f>
        <v>10</v>
      </c>
      <c r="C41" s="190" t="s">
        <v>110</v>
      </c>
      <c r="D41" s="191" t="s">
        <v>141</v>
      </c>
      <c r="E41" s="195">
        <v>10000000</v>
      </c>
      <c r="F41" s="196">
        <v>2022</v>
      </c>
      <c r="G41" s="196">
        <v>2025</v>
      </c>
      <c r="H41" s="196">
        <v>2026</v>
      </c>
      <c r="I41" s="193">
        <v>40</v>
      </c>
      <c r="J41" s="193">
        <f t="shared" si="2"/>
        <v>2065</v>
      </c>
      <c r="K41" s="199"/>
      <c r="L41" s="64" t="str">
        <f>IFERROR(INDEX('Option inputs'!$B$14:$B$26,MATCH($M41,'Option inputs'!$C$14:$C$26,0)),"")</f>
        <v/>
      </c>
      <c r="M41" s="79"/>
      <c r="N41" s="79"/>
      <c r="O41" s="181"/>
      <c r="P41" s="179"/>
      <c r="Q41" s="179"/>
      <c r="R41" s="179"/>
      <c r="S41" s="179"/>
      <c r="T41" s="180"/>
      <c r="U41" s="179"/>
      <c r="V41" s="162"/>
      <c r="W41" s="88"/>
      <c r="X41" s="88"/>
      <c r="Y41" s="88"/>
      <c r="Z41" s="88"/>
      <c r="AA41" s="88"/>
      <c r="AB41" s="88"/>
      <c r="AC41" s="88"/>
      <c r="AD41" s="88"/>
      <c r="AE41" s="88"/>
      <c r="AF41" s="87"/>
      <c r="AG41" s="188"/>
      <c r="AH41" s="189"/>
      <c r="AI41" s="87"/>
      <c r="AJ41" s="187"/>
      <c r="AK41" s="187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</row>
    <row r="42" spans="1:63" x14ac:dyDescent="0.35">
      <c r="A42" s="198"/>
      <c r="B42" s="64">
        <f>IFERROR(INDEX('Option inputs'!$B$14:$B$26,MATCH($C42,'Option inputs'!$C$14:$C$26,0)),"")</f>
        <v>11</v>
      </c>
      <c r="C42" s="39" t="s">
        <v>111</v>
      </c>
      <c r="D42" s="183" t="s">
        <v>140</v>
      </c>
      <c r="E42" s="151">
        <v>1090000000</v>
      </c>
      <c r="F42" s="152">
        <v>2021</v>
      </c>
      <c r="G42" s="152">
        <v>2024</v>
      </c>
      <c r="H42" s="152">
        <v>2025</v>
      </c>
      <c r="I42" s="179">
        <v>50</v>
      </c>
      <c r="J42" s="179">
        <f t="shared" si="2"/>
        <v>2074</v>
      </c>
      <c r="K42" s="199"/>
      <c r="L42" s="64" t="str">
        <f>IFERROR(INDEX('Option inputs'!$B$14:$B$26,MATCH($M42,'Option inputs'!$C$14:$C$26,0)),"")</f>
        <v/>
      </c>
      <c r="M42" s="79"/>
      <c r="N42" s="39"/>
      <c r="O42" s="181"/>
      <c r="P42" s="179"/>
      <c r="Q42" s="179"/>
      <c r="R42" s="179"/>
      <c r="S42" s="179"/>
      <c r="T42" s="180"/>
      <c r="U42" s="179"/>
      <c r="V42" s="162"/>
      <c r="W42" s="88"/>
      <c r="X42" s="88"/>
      <c r="Y42" s="88"/>
      <c r="Z42" s="88"/>
      <c r="AA42" s="88"/>
      <c r="AB42" s="88"/>
      <c r="AC42" s="88"/>
      <c r="AD42" s="88"/>
      <c r="AE42" s="88"/>
      <c r="AF42" s="87"/>
      <c r="AG42" s="188"/>
      <c r="AH42" s="189"/>
      <c r="AI42" s="87"/>
      <c r="AJ42" s="187"/>
      <c r="AK42" s="187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</row>
    <row r="43" spans="1:63" x14ac:dyDescent="0.35">
      <c r="A43" s="198"/>
      <c r="B43" s="64">
        <f>IFERROR(INDEX('Option inputs'!$B$14:$B$26,MATCH($C43,'Option inputs'!$C$14:$C$26,0)),"")</f>
        <v>11</v>
      </c>
      <c r="C43" s="39" t="s">
        <v>111</v>
      </c>
      <c r="D43" s="183" t="s">
        <v>141</v>
      </c>
      <c r="E43" s="151">
        <v>132000000</v>
      </c>
      <c r="F43" s="152">
        <v>2021</v>
      </c>
      <c r="G43" s="152">
        <v>2024</v>
      </c>
      <c r="H43" s="152">
        <v>2025</v>
      </c>
      <c r="I43" s="179">
        <v>40</v>
      </c>
      <c r="J43" s="179">
        <f t="shared" si="2"/>
        <v>2064</v>
      </c>
      <c r="K43" s="199"/>
      <c r="L43" s="64" t="str">
        <f>IFERROR(INDEX('Option inputs'!$B$14:$B$26,MATCH($M43,'Option inputs'!$C$14:$C$26,0)),"")</f>
        <v/>
      </c>
      <c r="M43" s="79"/>
      <c r="N43" s="39"/>
      <c r="O43" s="181"/>
      <c r="P43" s="179"/>
      <c r="Q43" s="179"/>
      <c r="R43" s="179"/>
      <c r="S43" s="179"/>
      <c r="T43" s="180"/>
      <c r="U43" s="179"/>
      <c r="V43" s="162"/>
      <c r="W43" s="88"/>
      <c r="X43" s="88"/>
      <c r="Y43" s="88"/>
      <c r="Z43" s="88"/>
      <c r="AA43" s="88"/>
      <c r="AB43" s="88"/>
      <c r="AC43" s="88"/>
      <c r="AD43" s="88"/>
      <c r="AE43" s="88"/>
      <c r="AF43" s="87"/>
      <c r="AG43" s="188"/>
      <c r="AH43" s="189"/>
      <c r="AI43" s="87"/>
      <c r="AJ43" s="187"/>
      <c r="AK43" s="187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</row>
    <row r="44" spans="1:63" x14ac:dyDescent="0.35">
      <c r="A44" s="198"/>
      <c r="B44" s="64">
        <f>IFERROR(INDEX('Option inputs'!$B$14:$B$26,MATCH($C44,'Option inputs'!$C$14:$C$26,0)),"")</f>
        <v>11</v>
      </c>
      <c r="C44" s="39" t="s">
        <v>111</v>
      </c>
      <c r="D44" s="183" t="s">
        <v>140</v>
      </c>
      <c r="E44" s="151">
        <v>342000000</v>
      </c>
      <c r="F44" s="152">
        <v>2022</v>
      </c>
      <c r="G44" s="152">
        <v>2025</v>
      </c>
      <c r="H44" s="152">
        <v>2026</v>
      </c>
      <c r="I44" s="179">
        <v>50</v>
      </c>
      <c r="J44" s="179">
        <f t="shared" si="2"/>
        <v>2075</v>
      </c>
      <c r="K44" s="199"/>
      <c r="L44" s="64" t="str">
        <f>IFERROR(INDEX('Option inputs'!$B$14:$B$26,MATCH($M44,'Option inputs'!$C$14:$C$26,0)),"")</f>
        <v/>
      </c>
      <c r="M44" s="79"/>
      <c r="N44" s="79"/>
      <c r="O44" s="181"/>
      <c r="P44" s="179"/>
      <c r="Q44" s="179"/>
      <c r="R44" s="179"/>
      <c r="S44" s="179"/>
      <c r="T44" s="180"/>
      <c r="U44" s="179"/>
      <c r="V44" s="162"/>
      <c r="W44" s="88"/>
      <c r="X44" s="88"/>
      <c r="Y44" s="88"/>
      <c r="Z44" s="88"/>
      <c r="AA44" s="88"/>
      <c r="AB44" s="88"/>
      <c r="AC44" s="88"/>
      <c r="AD44" s="88"/>
      <c r="AE44" s="88"/>
      <c r="AF44" s="87"/>
      <c r="AG44" s="188"/>
      <c r="AH44" s="189"/>
      <c r="AI44" s="87"/>
      <c r="AJ44" s="187"/>
      <c r="AK44" s="187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</row>
    <row r="45" spans="1:63" x14ac:dyDescent="0.35">
      <c r="A45" s="198"/>
      <c r="B45" s="64">
        <f>IFERROR(INDEX('Option inputs'!$B$14:$B$26,MATCH($C45,'Option inputs'!$C$14:$C$26,0)),"")</f>
        <v>11</v>
      </c>
      <c r="C45" s="190" t="s">
        <v>111</v>
      </c>
      <c r="D45" s="191" t="s">
        <v>141</v>
      </c>
      <c r="E45" s="195">
        <v>10000000</v>
      </c>
      <c r="F45" s="196">
        <v>2022</v>
      </c>
      <c r="G45" s="196">
        <v>2025</v>
      </c>
      <c r="H45" s="196">
        <v>2026</v>
      </c>
      <c r="I45" s="193">
        <v>40</v>
      </c>
      <c r="J45" s="193">
        <f t="shared" si="2"/>
        <v>2065</v>
      </c>
      <c r="K45" s="199"/>
      <c r="L45" s="64" t="str">
        <f>IFERROR(INDEX('Option inputs'!$B$14:$B$26,MATCH($M45,'Option inputs'!$C$14:$C$26,0)),"")</f>
        <v/>
      </c>
      <c r="M45" s="79"/>
      <c r="N45" s="39"/>
      <c r="O45" s="181"/>
      <c r="P45" s="179"/>
      <c r="Q45" s="179"/>
      <c r="R45" s="179"/>
      <c r="S45" s="179"/>
      <c r="T45" s="180"/>
      <c r="U45" s="179"/>
      <c r="V45" s="162"/>
      <c r="W45" s="88"/>
      <c r="X45" s="88"/>
      <c r="Y45" s="88"/>
      <c r="Z45" s="88"/>
      <c r="AA45" s="88"/>
      <c r="AB45" s="88"/>
      <c r="AC45" s="88"/>
      <c r="AD45" s="88"/>
      <c r="AE45" s="88"/>
      <c r="AF45" s="87"/>
      <c r="AG45" s="87"/>
      <c r="AH45" s="189"/>
      <c r="AI45" s="87"/>
    </row>
    <row r="46" spans="1:63" x14ac:dyDescent="0.35">
      <c r="A46" s="198"/>
      <c r="B46" s="64">
        <f>IFERROR(INDEX('Option inputs'!$B$14:$B$26,MATCH($C46,'Option inputs'!$C$14:$C$26,0)),"")</f>
        <v>12</v>
      </c>
      <c r="C46" s="79" t="s">
        <v>112</v>
      </c>
      <c r="D46" s="183" t="s">
        <v>140</v>
      </c>
      <c r="E46" s="151">
        <v>1064000000</v>
      </c>
      <c r="F46" s="152">
        <v>2021</v>
      </c>
      <c r="G46" s="152">
        <v>2024</v>
      </c>
      <c r="H46" s="152">
        <v>2025</v>
      </c>
      <c r="I46" s="179">
        <v>50</v>
      </c>
      <c r="J46" s="179">
        <f t="shared" si="2"/>
        <v>2074</v>
      </c>
      <c r="K46" s="199"/>
      <c r="L46" s="64" t="str">
        <f>IFERROR(INDEX('Option inputs'!$B$14:$B$26,MATCH($M46,'Option inputs'!$C$14:$C$26,0)),"")</f>
        <v/>
      </c>
      <c r="M46" s="79"/>
      <c r="N46" s="39"/>
      <c r="O46" s="181"/>
      <c r="P46" s="179"/>
      <c r="Q46" s="179"/>
      <c r="R46" s="179"/>
      <c r="S46" s="179"/>
      <c r="T46" s="180"/>
      <c r="U46" s="179"/>
      <c r="V46" s="162"/>
      <c r="W46" s="88"/>
      <c r="X46" s="88"/>
      <c r="Y46" s="88"/>
      <c r="Z46" s="88"/>
      <c r="AA46" s="88"/>
      <c r="AB46" s="88"/>
      <c r="AC46" s="88"/>
      <c r="AD46" s="88"/>
      <c r="AE46" s="88"/>
      <c r="AF46" s="87"/>
      <c r="AG46" s="87"/>
      <c r="AH46" s="189"/>
      <c r="AI46" s="87"/>
    </row>
    <row r="47" spans="1:63" x14ac:dyDescent="0.35">
      <c r="A47" s="198"/>
      <c r="B47" s="64">
        <f>IFERROR(INDEX('Option inputs'!$B$14:$B$26,MATCH($C47,'Option inputs'!$C$14:$C$26,0)),"")</f>
        <v>12</v>
      </c>
      <c r="C47" s="79" t="s">
        <v>112</v>
      </c>
      <c r="D47" s="183" t="s">
        <v>141</v>
      </c>
      <c r="E47" s="151">
        <v>291000000</v>
      </c>
      <c r="F47" s="152">
        <v>2021</v>
      </c>
      <c r="G47" s="152">
        <v>2024</v>
      </c>
      <c r="H47" s="152">
        <v>2025</v>
      </c>
      <c r="I47" s="179">
        <v>40</v>
      </c>
      <c r="J47" s="179">
        <f t="shared" si="2"/>
        <v>2064</v>
      </c>
      <c r="K47" s="199"/>
      <c r="L47" s="64" t="str">
        <f>IFERROR(INDEX('Option inputs'!$B$14:$B$26,MATCH($M47,'Option inputs'!$C$14:$C$26,0)),"")</f>
        <v/>
      </c>
      <c r="M47" s="79"/>
      <c r="N47" s="79"/>
      <c r="O47" s="181"/>
      <c r="P47" s="179"/>
      <c r="Q47" s="179"/>
      <c r="R47" s="179"/>
      <c r="S47" s="179"/>
      <c r="T47" s="180"/>
      <c r="U47" s="179"/>
      <c r="V47" s="162"/>
      <c r="W47" s="88"/>
      <c r="X47" s="88"/>
      <c r="Y47" s="88"/>
      <c r="Z47" s="88"/>
      <c r="AA47" s="88"/>
      <c r="AB47" s="88"/>
      <c r="AC47" s="88"/>
      <c r="AD47" s="88"/>
      <c r="AE47" s="88"/>
      <c r="AF47" s="87"/>
      <c r="AG47" s="87"/>
      <c r="AH47" s="189"/>
      <c r="AI47" s="87"/>
    </row>
    <row r="48" spans="1:63" x14ac:dyDescent="0.35">
      <c r="A48" s="198"/>
      <c r="B48" s="64">
        <f>IFERROR(INDEX('Option inputs'!$B$14:$B$26,MATCH($C48,'Option inputs'!$C$14:$C$26,0)),"")</f>
        <v>12</v>
      </c>
      <c r="C48" s="79" t="s">
        <v>112</v>
      </c>
      <c r="D48" s="183" t="s">
        <v>140</v>
      </c>
      <c r="E48" s="151">
        <v>385000000</v>
      </c>
      <c r="F48" s="152">
        <v>2022</v>
      </c>
      <c r="G48" s="152">
        <v>2025</v>
      </c>
      <c r="H48" s="152">
        <v>2026</v>
      </c>
      <c r="I48" s="179">
        <v>50</v>
      </c>
      <c r="J48" s="179">
        <f t="shared" si="2"/>
        <v>2075</v>
      </c>
      <c r="K48" s="199"/>
      <c r="L48" s="64" t="str">
        <f>IFERROR(INDEX('Option inputs'!$B$14:$B$26,MATCH($M48,'Option inputs'!$C$14:$C$26,0)),"")</f>
        <v/>
      </c>
      <c r="M48" s="79"/>
      <c r="N48" s="39"/>
      <c r="O48" s="181"/>
      <c r="P48" s="179"/>
      <c r="Q48" s="179"/>
      <c r="R48" s="179"/>
      <c r="S48" s="179"/>
      <c r="T48" s="180"/>
      <c r="U48" s="179"/>
      <c r="V48" s="162"/>
      <c r="W48" s="88"/>
      <c r="X48" s="88"/>
      <c r="Y48" s="88"/>
      <c r="Z48" s="88"/>
      <c r="AA48" s="88"/>
      <c r="AB48" s="88"/>
      <c r="AC48" s="88"/>
      <c r="AD48" s="88"/>
      <c r="AE48" s="88"/>
      <c r="AF48" s="87"/>
      <c r="AG48" s="87"/>
      <c r="AH48" s="189"/>
      <c r="AI48" s="87"/>
    </row>
    <row r="49" spans="1:65" x14ac:dyDescent="0.35">
      <c r="A49" s="198"/>
      <c r="B49" s="64">
        <f>IFERROR(INDEX('Option inputs'!$B$14:$B$26,MATCH($C49,'Option inputs'!$C$14:$C$26,0)),"")</f>
        <v>12</v>
      </c>
      <c r="C49" s="190" t="s">
        <v>112</v>
      </c>
      <c r="D49" s="191" t="s">
        <v>141</v>
      </c>
      <c r="E49" s="195">
        <v>151000000</v>
      </c>
      <c r="F49" s="196">
        <v>2022</v>
      </c>
      <c r="G49" s="196">
        <v>2025</v>
      </c>
      <c r="H49" s="196">
        <v>2026</v>
      </c>
      <c r="I49" s="193">
        <v>40</v>
      </c>
      <c r="J49" s="193">
        <f t="shared" si="2"/>
        <v>2065</v>
      </c>
      <c r="K49" s="199"/>
      <c r="L49" s="64" t="str">
        <f>IFERROR(INDEX('Option inputs'!$B$14:$B$26,MATCH($M49,'Option inputs'!$C$14:$C$26,0)),"")</f>
        <v/>
      </c>
      <c r="M49" s="79"/>
      <c r="N49" s="39"/>
      <c r="O49" s="181"/>
      <c r="P49" s="179"/>
      <c r="Q49" s="179"/>
      <c r="R49" s="179"/>
      <c r="S49" s="179"/>
      <c r="T49" s="180"/>
      <c r="U49" s="179"/>
      <c r="V49" s="162"/>
      <c r="W49" s="88"/>
      <c r="X49" s="88"/>
      <c r="Y49" s="88"/>
      <c r="Z49" s="88"/>
      <c r="AA49" s="88"/>
      <c r="AB49" s="88"/>
      <c r="AC49" s="88"/>
      <c r="AD49" s="88"/>
      <c r="AE49" s="88"/>
      <c r="AF49" s="87"/>
      <c r="AG49" s="87"/>
      <c r="AH49" s="189"/>
      <c r="AI49" s="87"/>
    </row>
    <row r="50" spans="1:65" x14ac:dyDescent="0.35">
      <c r="A50" s="83"/>
      <c r="B50" s="105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7"/>
      <c r="AG50" s="87"/>
      <c r="AH50" s="87"/>
      <c r="AI50" s="87"/>
    </row>
    <row r="51" spans="1:65" x14ac:dyDescent="0.35">
      <c r="A51" s="83"/>
      <c r="B51" s="105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</row>
    <row r="52" spans="1:65" x14ac:dyDescent="0.35">
      <c r="A52" s="83"/>
      <c r="B52" s="58" t="s">
        <v>85</v>
      </c>
      <c r="C52" s="58"/>
      <c r="D52" s="58"/>
      <c r="E52" s="67"/>
      <c r="F52" s="58">
        <f>Calculation!G58</f>
        <v>2020</v>
      </c>
      <c r="G52" s="58">
        <f>Calculation!H58</f>
        <v>2021</v>
      </c>
      <c r="H52" s="58">
        <f>Calculation!I58</f>
        <v>2022</v>
      </c>
      <c r="I52" s="58">
        <f>Calculation!J58</f>
        <v>2023</v>
      </c>
      <c r="J52" s="58">
        <f>Calculation!K58</f>
        <v>2024</v>
      </c>
      <c r="K52" s="58">
        <f>Calculation!L58</f>
        <v>2025</v>
      </c>
      <c r="L52" s="58">
        <f>Calculation!M58</f>
        <v>2026</v>
      </c>
      <c r="M52" s="58">
        <f>Calculation!N58</f>
        <v>2027</v>
      </c>
      <c r="N52" s="58">
        <f>Calculation!O58</f>
        <v>2028</v>
      </c>
      <c r="O52" s="58">
        <f>Calculation!P58</f>
        <v>2029</v>
      </c>
      <c r="P52" s="58">
        <f>Calculation!Q58</f>
        <v>2030</v>
      </c>
      <c r="Q52" s="58">
        <f>Calculation!R58</f>
        <v>2031</v>
      </c>
      <c r="R52" s="58">
        <f>Calculation!S58</f>
        <v>2032</v>
      </c>
      <c r="S52" s="58">
        <f>Calculation!T58</f>
        <v>2033</v>
      </c>
      <c r="T52" s="58">
        <f>Calculation!U58</f>
        <v>2034</v>
      </c>
      <c r="U52" s="58">
        <f>Calculation!V58</f>
        <v>2035</v>
      </c>
      <c r="V52" s="58">
        <f>Calculation!W58</f>
        <v>2036</v>
      </c>
      <c r="W52" s="58">
        <f>Calculation!X58</f>
        <v>2037</v>
      </c>
      <c r="X52" s="58">
        <f>Calculation!Y58</f>
        <v>2038</v>
      </c>
      <c r="Y52" s="58">
        <f>Calculation!Z58</f>
        <v>2039</v>
      </c>
      <c r="Z52" s="58">
        <f>Calculation!AA58</f>
        <v>2040</v>
      </c>
      <c r="AA52" s="58">
        <f>Calculation!AB58</f>
        <v>2041</v>
      </c>
      <c r="AB52" s="58">
        <f>Calculation!AC58</f>
        <v>2042</v>
      </c>
      <c r="AC52" s="58">
        <f>Calculation!AD58</f>
        <v>2043</v>
      </c>
      <c r="AD52" s="58">
        <f>Calculation!AE58</f>
        <v>2044</v>
      </c>
      <c r="AE52" s="58">
        <f>Calculation!AF58</f>
        <v>2045</v>
      </c>
      <c r="AF52" s="58">
        <f>Calculation!AG58</f>
        <v>2046</v>
      </c>
      <c r="AG52" s="58">
        <f>Calculation!AH58</f>
        <v>2047</v>
      </c>
      <c r="AH52" s="58">
        <f>Calculation!AI58</f>
        <v>2048</v>
      </c>
      <c r="AI52" s="58">
        <f>Calculation!AJ58</f>
        <v>2049</v>
      </c>
    </row>
    <row r="53" spans="1:65" x14ac:dyDescent="0.35">
      <c r="A53" s="83"/>
      <c r="B53" s="59" t="s">
        <v>14</v>
      </c>
      <c r="C53" s="59" t="s">
        <v>13</v>
      </c>
      <c r="D53" s="59"/>
      <c r="E53" s="63" t="s">
        <v>7</v>
      </c>
      <c r="F53" s="171" t="str">
        <f>Calculation!G$56</f>
        <v>FY 2019-20</v>
      </c>
      <c r="G53" s="171" t="str">
        <f>Calculation!H$56</f>
        <v>FY 2020-21</v>
      </c>
      <c r="H53" s="171" t="str">
        <f>Calculation!I$56</f>
        <v>FY 2021-22</v>
      </c>
      <c r="I53" s="171" t="str">
        <f>Calculation!J$56</f>
        <v>FY 2022-23</v>
      </c>
      <c r="J53" s="171" t="str">
        <f>Calculation!K$56</f>
        <v>FY 2023-24</v>
      </c>
      <c r="K53" s="171" t="str">
        <f>Calculation!L$56</f>
        <v>FY 2024-25</v>
      </c>
      <c r="L53" s="171" t="str">
        <f>Calculation!M$56</f>
        <v>FY 2025-26</v>
      </c>
      <c r="M53" s="171" t="str">
        <f>Calculation!N$56</f>
        <v>FY 2026-27</v>
      </c>
      <c r="N53" s="171" t="str">
        <f>Calculation!O$56</f>
        <v>FY 2027-28</v>
      </c>
      <c r="O53" s="171" t="str">
        <f>Calculation!P$56</f>
        <v>FY 2028-29</v>
      </c>
      <c r="P53" s="171" t="str">
        <f>Calculation!Q$56</f>
        <v>FY 2029-30</v>
      </c>
      <c r="Q53" s="171" t="str">
        <f>Calculation!R$56</f>
        <v>FY 2030-31</v>
      </c>
      <c r="R53" s="171" t="str">
        <f>Calculation!S$56</f>
        <v>FY 2031-32</v>
      </c>
      <c r="S53" s="171" t="str">
        <f>Calculation!T$56</f>
        <v>FY 2032-33</v>
      </c>
      <c r="T53" s="171" t="str">
        <f>Calculation!U$56</f>
        <v>FY 2033-34</v>
      </c>
      <c r="U53" s="171" t="str">
        <f>Calculation!V$56</f>
        <v>FY 2034-35</v>
      </c>
      <c r="V53" s="171" t="str">
        <f>Calculation!W$56</f>
        <v>FY 2035-36</v>
      </c>
      <c r="W53" s="171" t="str">
        <f>Calculation!X$56</f>
        <v>FY 2036-37</v>
      </c>
      <c r="X53" s="171" t="str">
        <f>Calculation!Y$56</f>
        <v>FY 2037-38</v>
      </c>
      <c r="Y53" s="171" t="str">
        <f>Calculation!Z$56</f>
        <v>FY 2038-39</v>
      </c>
      <c r="Z53" s="171" t="str">
        <f>Calculation!AA$56</f>
        <v>FY 2039-40</v>
      </c>
      <c r="AA53" s="171" t="str">
        <f>Calculation!AB$56</f>
        <v>FY 2040-41</v>
      </c>
      <c r="AB53" s="171" t="str">
        <f>Calculation!AC$56</f>
        <v>FY 2041-42</v>
      </c>
      <c r="AC53" s="171" t="str">
        <f>Calculation!AD$56</f>
        <v>FY 2042-43</v>
      </c>
      <c r="AD53" s="171" t="str">
        <f>Calculation!AE$56</f>
        <v>FY 2043-44</v>
      </c>
      <c r="AE53" s="171" t="str">
        <f>Calculation!AF$56</f>
        <v>FY 2044-45</v>
      </c>
      <c r="AF53" s="171" t="str">
        <f>Calculation!AG$56</f>
        <v>FY 2045-46</v>
      </c>
      <c r="AG53" s="171" t="str">
        <f>Calculation!AH$56</f>
        <v>FY 2046-47</v>
      </c>
      <c r="AH53" s="171" t="str">
        <f>Calculation!AI$56</f>
        <v>FY 2047-48</v>
      </c>
      <c r="AI53" s="171" t="str">
        <f>Calculation!AJ$56</f>
        <v>FY 2048-49</v>
      </c>
    </row>
    <row r="54" spans="1:65" x14ac:dyDescent="0.35">
      <c r="A54" s="83"/>
      <c r="B54" s="9">
        <v>0</v>
      </c>
      <c r="C54" s="123" t="str">
        <f>'Option inputs'!$C$14</f>
        <v>Base case</v>
      </c>
      <c r="D54" s="62"/>
      <c r="E54" s="68" t="s">
        <v>35</v>
      </c>
      <c r="F54" s="182">
        <f>SUMIFS($E$20:$E$49,$C$20:$C$49,$C54,'CBA Inputs'!$H$20:$H$49,"&lt;="&amp;F$52,$J$20:$J$49,"&gt;="&amp;F$52)*0.01+SUMIFS($O$20:$O$49,$M$20:$M$49,$C54,'CBA Inputs'!$R$20:$R$49,"&lt;="&amp;F$52,$U$20:$U$49,"&gt;="&amp;F$52,$T$20:$T$49,Scenario_Select)*0.01</f>
        <v>0</v>
      </c>
      <c r="G54" s="182">
        <f>SUMIFS($E$20:$E$49,$C$20:$C$49,$C54,'CBA Inputs'!$H$20:$H$49,"&lt;="&amp;G$52,$J$20:$J$49,"&gt;="&amp;G$52)*0.01+SUMIFS($O$20:$O$49,$M$20:$M$49,$C54,'CBA Inputs'!$R$20:$R$49,"&lt;="&amp;G$52,$U$20:$U$49,"&gt;="&amp;G$52,$T$20:$T$49,Scenario_Select)*0.01</f>
        <v>0</v>
      </c>
      <c r="H54" s="182">
        <f>SUMIFS($E$20:$E$49,$C$20:$C$49,$C54,'CBA Inputs'!$H$20:$H$49,"&lt;="&amp;H$52,$J$20:$J$49,"&gt;="&amp;H$52)*0.01+SUMIFS($O$20:$O$49,$M$20:$M$49,$C54,'CBA Inputs'!$R$20:$R$49,"&lt;="&amp;H$52,$U$20:$U$49,"&gt;="&amp;H$52,$T$20:$T$49,Scenario_Select)*0.01</f>
        <v>0</v>
      </c>
      <c r="I54" s="182">
        <f>SUMIFS($E$20:$E$49,$C$20:$C$49,$C54,'CBA Inputs'!$H$20:$H$49,"&lt;="&amp;I$52,$J$20:$J$49,"&gt;="&amp;I$52)*0.01+SUMIFS($O$20:$O$49,$M$20:$M$49,$C54,'CBA Inputs'!$R$20:$R$49,"&lt;="&amp;I$52,$U$20:$U$49,"&gt;="&amp;I$52,$T$20:$T$49,Scenario_Select)*0.01</f>
        <v>0</v>
      </c>
      <c r="J54" s="182">
        <f>SUMIFS($E$20:$E$49,$C$20:$C$49,$C54,'CBA Inputs'!$H$20:$H$49,"&lt;="&amp;J$52,$J$20:$J$49,"&gt;="&amp;J$52)*0.01+SUMIFS($O$20:$O$49,$M$20:$M$49,$C54,'CBA Inputs'!$R$20:$R$49,"&lt;="&amp;J$52,$U$20:$U$49,"&gt;="&amp;J$52,$T$20:$T$49,Scenario_Select)*0.01</f>
        <v>0</v>
      </c>
      <c r="K54" s="182">
        <f>SUMIFS($E$20:$E$49,$C$20:$C$49,$C54,'CBA Inputs'!$H$20:$H$49,"&lt;="&amp;K$52,$J$20:$J$49,"&gt;="&amp;K$52)*0.01+SUMIFS($O$20:$O$49,$M$20:$M$49,$C54,'CBA Inputs'!$R$20:$R$49,"&lt;="&amp;K$52,$U$20:$U$49,"&gt;="&amp;K$52,$T$20:$T$49,Scenario_Select)*0.01</f>
        <v>0</v>
      </c>
      <c r="L54" s="182">
        <f>SUMIFS($E$20:$E$49,$C$20:$C$49,$C54,'CBA Inputs'!$H$20:$H$49,"&lt;="&amp;L$52,$J$20:$J$49,"&gt;="&amp;L$52)*0.01+SUMIFS($O$20:$O$49,$M$20:$M$49,$C54,'CBA Inputs'!$R$20:$R$49,"&lt;="&amp;L$52,$U$20:$U$49,"&gt;="&amp;L$52,$T$20:$T$49,Scenario_Select)*0.01</f>
        <v>0</v>
      </c>
      <c r="M54" s="182">
        <f>SUMIFS($E$20:$E$49,$C$20:$C$49,$C54,'CBA Inputs'!$H$20:$H$49,"&lt;="&amp;M$52,$J$20:$J$49,"&gt;="&amp;M$52)*0.01+SUMIFS($O$20:$O$49,$M$20:$M$49,$C54,'CBA Inputs'!$R$20:$R$49,"&lt;="&amp;M$52,$U$20:$U$49,"&gt;="&amp;M$52,$T$20:$T$49,Scenario_Select)*0.01</f>
        <v>0</v>
      </c>
      <c r="N54" s="182">
        <f>SUMIFS($E$20:$E$49,$C$20:$C$49,$C54,'CBA Inputs'!$H$20:$H$49,"&lt;="&amp;N$52,$J$20:$J$49,"&gt;="&amp;N$52)*0.01+SUMIFS($O$20:$O$49,$M$20:$M$49,$C54,'CBA Inputs'!$R$20:$R$49,"&lt;="&amp;N$52,$U$20:$U$49,"&gt;="&amp;N$52,$T$20:$T$49,Scenario_Select)*0.01</f>
        <v>0</v>
      </c>
      <c r="O54" s="182">
        <f>SUMIFS($E$20:$E$49,$C$20:$C$49,$C54,'CBA Inputs'!$H$20:$H$49,"&lt;="&amp;O$52,$J$20:$J$49,"&gt;="&amp;O$52)*0.01+SUMIFS($O$20:$O$49,$M$20:$M$49,$C54,'CBA Inputs'!$R$20:$R$49,"&lt;="&amp;O$52,$U$20:$U$49,"&gt;="&amp;O$52,$T$20:$T$49,Scenario_Select)*0.01</f>
        <v>0</v>
      </c>
      <c r="P54" s="182">
        <f>SUMIFS($E$20:$E$49,$C$20:$C$49,$C54,'CBA Inputs'!$H$20:$H$49,"&lt;="&amp;P$52,$J$20:$J$49,"&gt;="&amp;P$52)*0.01+SUMIFS($O$20:$O$49,$M$20:$M$49,$C54,'CBA Inputs'!$R$20:$R$49,"&lt;="&amp;P$52,$U$20:$U$49,"&gt;="&amp;P$52,$T$20:$T$49,Scenario_Select)*0.01</f>
        <v>0</v>
      </c>
      <c r="Q54" s="182">
        <f>SUMIFS($E$20:$E$49,$C$20:$C$49,$C54,'CBA Inputs'!$H$20:$H$49,"&lt;="&amp;Q$52,$J$20:$J$49,"&gt;="&amp;Q$52)*0.01+SUMIFS($O$20:$O$49,$M$20:$M$49,$C54,'CBA Inputs'!$R$20:$R$49,"&lt;="&amp;Q$52,$U$20:$U$49,"&gt;="&amp;Q$52,$T$20:$T$49,Scenario_Select)*0.01</f>
        <v>0</v>
      </c>
      <c r="R54" s="182">
        <f>SUMIFS($E$20:$E$49,$C$20:$C$49,$C54,'CBA Inputs'!$H$20:$H$49,"&lt;="&amp;R$52,$J$20:$J$49,"&gt;="&amp;R$52)*0.01+SUMIFS($O$20:$O$49,$M$20:$M$49,$C54,'CBA Inputs'!$R$20:$R$49,"&lt;="&amp;R$52,$U$20:$U$49,"&gt;="&amp;R$52,$T$20:$T$49,Scenario_Select)*0.01</f>
        <v>0</v>
      </c>
      <c r="S54" s="182">
        <f>SUMIFS($E$20:$E$49,$C$20:$C$49,$C54,'CBA Inputs'!$H$20:$H$49,"&lt;="&amp;S$52,$J$20:$J$49,"&gt;="&amp;S$52)*0.01+SUMIFS($O$20:$O$49,$M$20:$M$49,$C54,'CBA Inputs'!$R$20:$R$49,"&lt;="&amp;S$52,$U$20:$U$49,"&gt;="&amp;S$52,$T$20:$T$49,Scenario_Select)*0.01</f>
        <v>0</v>
      </c>
      <c r="T54" s="182">
        <f>SUMIFS($E$20:$E$49,$C$20:$C$49,$C54,'CBA Inputs'!$H$20:$H$49,"&lt;="&amp;T$52,$J$20:$J$49,"&gt;="&amp;T$52)*0.01+SUMIFS($O$20:$O$49,$M$20:$M$49,$C54,'CBA Inputs'!$R$20:$R$49,"&lt;="&amp;T$52,$U$20:$U$49,"&gt;="&amp;T$52,$T$20:$T$49,Scenario_Select)*0.01</f>
        <v>0</v>
      </c>
      <c r="U54" s="182">
        <f>SUMIFS($E$20:$E$49,$C$20:$C$49,$C54,'CBA Inputs'!$H$20:$H$49,"&lt;="&amp;U$52,$J$20:$J$49,"&gt;="&amp;U$52)*0.01+SUMIFS($O$20:$O$49,$M$20:$M$49,$C54,'CBA Inputs'!$R$20:$R$49,"&lt;="&amp;U$52,$U$20:$U$49,"&gt;="&amp;U$52,$T$20:$T$49,Scenario_Select)*0.01</f>
        <v>0</v>
      </c>
      <c r="V54" s="182">
        <f>SUMIFS($E$20:$E$49,$C$20:$C$49,$C54,'CBA Inputs'!$H$20:$H$49,"&lt;="&amp;V$52,$J$20:$J$49,"&gt;="&amp;V$52)*0.01+SUMIFS($O$20:$O$49,$M$20:$M$49,$C54,'CBA Inputs'!$R$20:$R$49,"&lt;="&amp;V$52,$U$20:$U$49,"&gt;="&amp;V$52,$T$20:$T$49,Scenario_Select)*0.01</f>
        <v>0</v>
      </c>
      <c r="W54" s="182">
        <f>SUMIFS($E$20:$E$49,$C$20:$C$49,$C54,'CBA Inputs'!$H$20:$H$49,"&lt;="&amp;W$52,$J$20:$J$49,"&gt;="&amp;W$52)*0.01+SUMIFS($O$20:$O$49,$M$20:$M$49,$C54,'CBA Inputs'!$R$20:$R$49,"&lt;="&amp;W$52,$U$20:$U$49,"&gt;="&amp;W$52,$T$20:$T$49,Scenario_Select)*0.01</f>
        <v>0</v>
      </c>
      <c r="X54" s="182">
        <f>SUMIFS($E$20:$E$49,$C$20:$C$49,$C54,'CBA Inputs'!$H$20:$H$49,"&lt;="&amp;X$52,$J$20:$J$49,"&gt;="&amp;X$52)*0.01+SUMIFS($O$20:$O$49,$M$20:$M$49,$C54,'CBA Inputs'!$R$20:$R$49,"&lt;="&amp;X$52,$U$20:$U$49,"&gt;="&amp;X$52,$T$20:$T$49,Scenario_Select)*0.01</f>
        <v>0</v>
      </c>
      <c r="Y54" s="182">
        <f>SUMIFS($E$20:$E$49,$C$20:$C$49,$C54,'CBA Inputs'!$H$20:$H$49,"&lt;="&amp;Y$52,$J$20:$J$49,"&gt;="&amp;Y$52)*0.01+SUMIFS($O$20:$O$49,$M$20:$M$49,$C54,'CBA Inputs'!$R$20:$R$49,"&lt;="&amp;Y$52,$U$20:$U$49,"&gt;="&amp;Y$52,$T$20:$T$49,Scenario_Select)*0.01</f>
        <v>0</v>
      </c>
      <c r="Z54" s="182">
        <f>SUMIFS($E$20:$E$49,$C$20:$C$49,$C54,'CBA Inputs'!$H$20:$H$49,"&lt;="&amp;Z$52,$J$20:$J$49,"&gt;="&amp;Z$52)*0.01+SUMIFS($O$20:$O$49,$M$20:$M$49,$C54,'CBA Inputs'!$R$20:$R$49,"&lt;="&amp;Z$52,$U$20:$U$49,"&gt;="&amp;Z$52,$T$20:$T$49,Scenario_Select)*0.01</f>
        <v>0</v>
      </c>
      <c r="AA54" s="182">
        <f>SUMIFS($E$20:$E$49,$C$20:$C$49,$C54,'CBA Inputs'!$H$20:$H$49,"&lt;="&amp;AA$52,$J$20:$J$49,"&gt;="&amp;AA$52)*0.01+SUMIFS($O$20:$O$49,$M$20:$M$49,$C54,'CBA Inputs'!$R$20:$R$49,"&lt;="&amp;AA$52,$U$20:$U$49,"&gt;="&amp;AA$52,$T$20:$T$49,Scenario_Select)*0.01</f>
        <v>0</v>
      </c>
      <c r="AB54" s="182">
        <f>SUMIFS($E$20:$E$49,$C$20:$C$49,$C54,'CBA Inputs'!$H$20:$H$49,"&lt;="&amp;AB$52,$J$20:$J$49,"&gt;="&amp;AB$52)*0.01+SUMIFS($O$20:$O$49,$M$20:$M$49,$C54,'CBA Inputs'!$R$20:$R$49,"&lt;="&amp;AB$52,$U$20:$U$49,"&gt;="&amp;AB$52,$T$20:$T$49,Scenario_Select)*0.01</f>
        <v>0</v>
      </c>
      <c r="AC54" s="182">
        <f>SUMIFS($E$20:$E$49,$C$20:$C$49,$C54,'CBA Inputs'!$H$20:$H$49,"&lt;="&amp;AC$52,$J$20:$J$49,"&gt;="&amp;AC$52)*0.01+SUMIFS($O$20:$O$49,$M$20:$M$49,$C54,'CBA Inputs'!$R$20:$R$49,"&lt;="&amp;AC$52,$U$20:$U$49,"&gt;="&amp;AC$52,$T$20:$T$49,Scenario_Select)*0.01</f>
        <v>0</v>
      </c>
      <c r="AD54" s="182">
        <f>SUMIFS($E$20:$E$49,$C$20:$C$49,$C54,'CBA Inputs'!$H$20:$H$49,"&lt;="&amp;AD$52,$J$20:$J$49,"&gt;="&amp;AD$52)*0.01+SUMIFS($O$20:$O$49,$M$20:$M$49,$C54,'CBA Inputs'!$R$20:$R$49,"&lt;="&amp;AD$52,$U$20:$U$49,"&gt;="&amp;AD$52,$T$20:$T$49,Scenario_Select)*0.01</f>
        <v>0</v>
      </c>
      <c r="AE54" s="182">
        <f>SUMIFS($E$20:$E$49,$C$20:$C$49,$C54,'CBA Inputs'!$H$20:$H$49,"&lt;="&amp;AE$52,$J$20:$J$49,"&gt;="&amp;AE$52)*0.01+SUMIFS($O$20:$O$49,$M$20:$M$49,$C54,'CBA Inputs'!$R$20:$R$49,"&lt;="&amp;AE$52,$U$20:$U$49,"&gt;="&amp;AE$52,$T$20:$T$49,Scenario_Select)*0.01</f>
        <v>0</v>
      </c>
      <c r="AF54" s="182">
        <f>SUMIFS($E$20:$E$49,$C$20:$C$49,$C54,'CBA Inputs'!$H$20:$H$49,"&lt;="&amp;AF$52,$J$20:$J$49,"&gt;="&amp;AF$52)*0.01+SUMIFS($O$20:$O$49,$M$20:$M$49,$C54,'CBA Inputs'!$R$20:$R$49,"&lt;="&amp;AF$52,$U$20:$U$49,"&gt;="&amp;AF$52,$T$20:$T$49,Scenario_Select)*0.01</f>
        <v>0</v>
      </c>
      <c r="AG54" s="182">
        <f>SUMIFS($E$20:$E$49,$C$20:$C$49,$C54,'CBA Inputs'!$H$20:$H$49,"&lt;="&amp;AG$52,$J$20:$J$49,"&gt;="&amp;AG$52)*0.01+SUMIFS($O$20:$O$49,$M$20:$M$49,$C54,'CBA Inputs'!$R$20:$R$49,"&lt;="&amp;AG$52,$U$20:$U$49,"&gt;="&amp;AG$52,$T$20:$T$49,Scenario_Select)*0.01</f>
        <v>0</v>
      </c>
      <c r="AH54" s="182">
        <f>SUMIFS($E$20:$E$49,$C$20:$C$49,$C54,'CBA Inputs'!$H$20:$H$49,"&lt;="&amp;AH$52,$J$20:$J$49,"&gt;="&amp;AH$52)*0.01+SUMIFS($O$20:$O$49,$M$20:$M$49,$C54,'CBA Inputs'!$R$20:$R$49,"&lt;="&amp;AH$52,$U$20:$U$49,"&gt;="&amp;AH$52,$T$20:$T$49,Scenario_Select)*0.01</f>
        <v>0</v>
      </c>
      <c r="AI54" s="182">
        <f>SUMIFS($E$20:$E$49,$C$20:$C$49,$C54,'CBA Inputs'!$H$20:$H$49,"&lt;="&amp;AI$52,$J$20:$J$49,"&gt;="&amp;AI$52)*0.01+SUMIFS($O$20:$O$49,$M$20:$M$49,$C54,'CBA Inputs'!$R$20:$R$49,"&lt;="&amp;AI$52,$U$20:$U$49,"&gt;="&amp;AI$52,$T$20:$T$49,Scenario_Select)*0.01</f>
        <v>0</v>
      </c>
      <c r="BL54" s="102"/>
      <c r="BM54" s="102"/>
    </row>
    <row r="55" spans="1:65" x14ac:dyDescent="0.35">
      <c r="A55" s="83"/>
      <c r="B55" s="9">
        <v>1</v>
      </c>
      <c r="C55" s="122" t="str">
        <f>'Option inputs'!$C$15</f>
        <v>Option 1A</v>
      </c>
      <c r="D55" s="62"/>
      <c r="E55" s="68" t="s">
        <v>35</v>
      </c>
      <c r="F55" s="182">
        <f>SUMIFS($E$20:$E$49,$C$20:$C$49,$C55,'CBA Inputs'!$H$20:$H$49,"&lt;="&amp;F$52,$J$20:$J$49,"&gt;="&amp;F$52)*0.01+SUMIFS($O$20:$O$49,$M$20:$M$49,$C55,'CBA Inputs'!$R$20:$R$49,"&lt;="&amp;F$52,$U$20:$U$49,"&gt;="&amp;F$52,$T$20:$T$49,Scenario_Select)*0.01</f>
        <v>0</v>
      </c>
      <c r="G55" s="182">
        <f>SUMIFS($E$20:$E$49,$C$20:$C$49,$C55,'CBA Inputs'!$H$20:$H$49,"&lt;="&amp;G$52,$J$20:$J$49,"&gt;="&amp;G$52)*0.01+SUMIFS($O$20:$O$49,$M$20:$M$49,$C55,'CBA Inputs'!$R$20:$R$49,"&lt;="&amp;G$52,$U$20:$U$49,"&gt;="&amp;G$52,$T$20:$T$49,Scenario_Select)*0.01</f>
        <v>0</v>
      </c>
      <c r="H55" s="182">
        <f>SUMIFS($E$20:$E$49,$C$20:$C$49,$C55,'CBA Inputs'!$H$20:$H$49,"&lt;="&amp;H$52,$J$20:$J$49,"&gt;="&amp;H$52)*0.01+SUMIFS($O$20:$O$49,$M$20:$M$49,$C55,'CBA Inputs'!$R$20:$R$49,"&lt;="&amp;H$52,$U$20:$U$49,"&gt;="&amp;H$52,$T$20:$T$49,Scenario_Select)*0.01</f>
        <v>0</v>
      </c>
      <c r="I55" s="182">
        <f>SUMIFS($E$20:$E$49,$C$20:$C$49,$C55,'CBA Inputs'!$H$20:$H$49,"&lt;="&amp;I$52,$J$20:$J$49,"&gt;="&amp;I$52)*0.01+SUMIFS($O$20:$O$49,$M$20:$M$49,$C55,'CBA Inputs'!$R$20:$R$49,"&lt;="&amp;I$52,$U$20:$U$49,"&gt;="&amp;I$52,$T$20:$T$49,Scenario_Select)*0.01</f>
        <v>0</v>
      </c>
      <c r="J55" s="182">
        <f>SUMIFS($E$20:$E$49,$C$20:$C$49,$C55,'CBA Inputs'!$H$20:$H$49,"&lt;="&amp;J$52,$J$20:$J$49,"&gt;="&amp;J$52)*0.01+SUMIFS($O$20:$O$49,$M$20:$M$49,$C55,'CBA Inputs'!$R$20:$R$49,"&lt;="&amp;J$52,$U$20:$U$49,"&gt;="&amp;J$52,$T$20:$T$49,Scenario_Select)*0.01</f>
        <v>0</v>
      </c>
      <c r="K55" s="182">
        <f>SUMIFS($E$20:$E$49,$C$20:$C$49,$C55,'CBA Inputs'!$H$20:$H$49,"&lt;="&amp;K$52,$J$20:$J$49,"&gt;="&amp;K$52)*0.01+SUMIFS($O$20:$O$49,$M$20:$M$49,$C55,'CBA Inputs'!$R$20:$R$49,"&lt;="&amp;K$52,$U$20:$U$49,"&gt;="&amp;K$52,$T$20:$T$49,Scenario_Select)*0.01</f>
        <v>7950000</v>
      </c>
      <c r="L55" s="182">
        <f>SUMIFS($E$20:$E$49,$C$20:$C$49,$C55,'CBA Inputs'!$H$20:$H$49,"&lt;="&amp;L$52,$J$20:$J$49,"&gt;="&amp;L$52)*0.01+SUMIFS($O$20:$O$49,$M$20:$M$49,$C55,'CBA Inputs'!$R$20:$R$49,"&lt;="&amp;L$52,$U$20:$U$49,"&gt;="&amp;L$52,$T$20:$T$49,Scenario_Select)*0.01</f>
        <v>7950000</v>
      </c>
      <c r="M55" s="182">
        <f>SUMIFS($E$20:$E$49,$C$20:$C$49,$C55,'CBA Inputs'!$H$20:$H$49,"&lt;="&amp;M$52,$J$20:$J$49,"&gt;="&amp;M$52)*0.01+SUMIFS($O$20:$O$49,$M$20:$M$49,$C55,'CBA Inputs'!$R$20:$R$49,"&lt;="&amp;M$52,$U$20:$U$49,"&gt;="&amp;M$52,$T$20:$T$49,Scenario_Select)*0.01</f>
        <v>7950000</v>
      </c>
      <c r="N55" s="182">
        <f>SUMIFS($E$20:$E$49,$C$20:$C$49,$C55,'CBA Inputs'!$H$20:$H$49,"&lt;="&amp;N$52,$J$20:$J$49,"&gt;="&amp;N$52)*0.01+SUMIFS($O$20:$O$49,$M$20:$M$49,$C55,'CBA Inputs'!$R$20:$R$49,"&lt;="&amp;N$52,$U$20:$U$49,"&gt;="&amp;N$52,$T$20:$T$49,Scenario_Select)*0.01</f>
        <v>7950000</v>
      </c>
      <c r="O55" s="182">
        <f>SUMIFS($E$20:$E$49,$C$20:$C$49,$C55,'CBA Inputs'!$H$20:$H$49,"&lt;="&amp;O$52,$J$20:$J$49,"&gt;="&amp;O$52)*0.01+SUMIFS($O$20:$O$49,$M$20:$M$49,$C55,'CBA Inputs'!$R$20:$R$49,"&lt;="&amp;O$52,$U$20:$U$49,"&gt;="&amp;O$52,$T$20:$T$49,Scenario_Select)*0.01</f>
        <v>7950000</v>
      </c>
      <c r="P55" s="182">
        <f>SUMIFS($E$20:$E$49,$C$20:$C$49,$C55,'CBA Inputs'!$H$20:$H$49,"&lt;="&amp;P$52,$J$20:$J$49,"&gt;="&amp;P$52)*0.01+SUMIFS($O$20:$O$49,$M$20:$M$49,$C55,'CBA Inputs'!$R$20:$R$49,"&lt;="&amp;P$52,$U$20:$U$49,"&gt;="&amp;P$52,$T$20:$T$49,Scenario_Select)*0.01</f>
        <v>7950000</v>
      </c>
      <c r="Q55" s="182">
        <f>SUMIFS($E$20:$E$49,$C$20:$C$49,$C55,'CBA Inputs'!$H$20:$H$49,"&lt;="&amp;Q$52,$J$20:$J$49,"&gt;="&amp;Q$52)*0.01+SUMIFS($O$20:$O$49,$M$20:$M$49,$C55,'CBA Inputs'!$R$20:$R$49,"&lt;="&amp;Q$52,$U$20:$U$49,"&gt;="&amp;Q$52,$T$20:$T$49,Scenario_Select)*0.01</f>
        <v>7950000</v>
      </c>
      <c r="R55" s="182">
        <f>SUMIFS($E$20:$E$49,$C$20:$C$49,$C55,'CBA Inputs'!$H$20:$H$49,"&lt;="&amp;R$52,$J$20:$J$49,"&gt;="&amp;R$52)*0.01+SUMIFS($O$20:$O$49,$M$20:$M$49,$C55,'CBA Inputs'!$R$20:$R$49,"&lt;="&amp;R$52,$U$20:$U$49,"&gt;="&amp;R$52,$T$20:$T$49,Scenario_Select)*0.01</f>
        <v>7950000</v>
      </c>
      <c r="S55" s="182">
        <f>SUMIFS($E$20:$E$49,$C$20:$C$49,$C55,'CBA Inputs'!$H$20:$H$49,"&lt;="&amp;S$52,$J$20:$J$49,"&gt;="&amp;S$52)*0.01+SUMIFS($O$20:$O$49,$M$20:$M$49,$C55,'CBA Inputs'!$R$20:$R$49,"&lt;="&amp;S$52,$U$20:$U$49,"&gt;="&amp;S$52,$T$20:$T$49,Scenario_Select)*0.01</f>
        <v>7950000</v>
      </c>
      <c r="T55" s="182">
        <f>SUMIFS($E$20:$E$49,$C$20:$C$49,$C55,'CBA Inputs'!$H$20:$H$49,"&lt;="&amp;T$52,$J$20:$J$49,"&gt;="&amp;T$52)*0.01+SUMIFS($O$20:$O$49,$M$20:$M$49,$C55,'CBA Inputs'!$R$20:$R$49,"&lt;="&amp;T$52,$U$20:$U$49,"&gt;="&amp;T$52,$T$20:$T$49,Scenario_Select)*0.01</f>
        <v>7950000</v>
      </c>
      <c r="U55" s="182">
        <f>SUMIFS($E$20:$E$49,$C$20:$C$49,$C55,'CBA Inputs'!$H$20:$H$49,"&lt;="&amp;U$52,$J$20:$J$49,"&gt;="&amp;U$52)*0.01+SUMIFS($O$20:$O$49,$M$20:$M$49,$C55,'CBA Inputs'!$R$20:$R$49,"&lt;="&amp;U$52,$U$20:$U$49,"&gt;="&amp;U$52,$T$20:$T$49,Scenario_Select)*0.01</f>
        <v>7950000</v>
      </c>
      <c r="V55" s="182">
        <f>SUMIFS($E$20:$E$49,$C$20:$C$49,$C55,'CBA Inputs'!$H$20:$H$49,"&lt;="&amp;V$52,$J$20:$J$49,"&gt;="&amp;V$52)*0.01+SUMIFS($O$20:$O$49,$M$20:$M$49,$C55,'CBA Inputs'!$R$20:$R$49,"&lt;="&amp;V$52,$U$20:$U$49,"&gt;="&amp;V$52,$T$20:$T$49,Scenario_Select)*0.01</f>
        <v>7950000</v>
      </c>
      <c r="W55" s="182">
        <f>SUMIFS($E$20:$E$49,$C$20:$C$49,$C55,'CBA Inputs'!$H$20:$H$49,"&lt;="&amp;W$52,$J$20:$J$49,"&gt;="&amp;W$52)*0.01+SUMIFS($O$20:$O$49,$M$20:$M$49,$C55,'CBA Inputs'!$R$20:$R$49,"&lt;="&amp;W$52,$U$20:$U$49,"&gt;="&amp;W$52,$T$20:$T$49,Scenario_Select)*0.01</f>
        <v>7950000</v>
      </c>
      <c r="X55" s="182">
        <f>SUMIFS($E$20:$E$49,$C$20:$C$49,$C55,'CBA Inputs'!$H$20:$H$49,"&lt;="&amp;X$52,$J$20:$J$49,"&gt;="&amp;X$52)*0.01+SUMIFS($O$20:$O$49,$M$20:$M$49,$C55,'CBA Inputs'!$R$20:$R$49,"&lt;="&amp;X$52,$U$20:$U$49,"&gt;="&amp;X$52,$T$20:$T$49,Scenario_Select)*0.01</f>
        <v>7950000</v>
      </c>
      <c r="Y55" s="182">
        <f>SUMIFS($E$20:$E$49,$C$20:$C$49,$C55,'CBA Inputs'!$H$20:$H$49,"&lt;="&amp;Y$52,$J$20:$J$49,"&gt;="&amp;Y$52)*0.01+SUMIFS($O$20:$O$49,$M$20:$M$49,$C55,'CBA Inputs'!$R$20:$R$49,"&lt;="&amp;Y$52,$U$20:$U$49,"&gt;="&amp;Y$52,$T$20:$T$49,Scenario_Select)*0.01</f>
        <v>7950000</v>
      </c>
      <c r="Z55" s="182">
        <f>SUMIFS($E$20:$E$49,$C$20:$C$49,$C55,'CBA Inputs'!$H$20:$H$49,"&lt;="&amp;Z$52,$J$20:$J$49,"&gt;="&amp;Z$52)*0.01+SUMIFS($O$20:$O$49,$M$20:$M$49,$C55,'CBA Inputs'!$R$20:$R$49,"&lt;="&amp;Z$52,$U$20:$U$49,"&gt;="&amp;Z$52,$T$20:$T$49,Scenario_Select)*0.01</f>
        <v>7950000</v>
      </c>
      <c r="AA55" s="182">
        <f>SUMIFS($E$20:$E$49,$C$20:$C$49,$C55,'CBA Inputs'!$H$20:$H$49,"&lt;="&amp;AA$52,$J$20:$J$49,"&gt;="&amp;AA$52)*0.01+SUMIFS($O$20:$O$49,$M$20:$M$49,$C55,'CBA Inputs'!$R$20:$R$49,"&lt;="&amp;AA$52,$U$20:$U$49,"&gt;="&amp;AA$52,$T$20:$T$49,Scenario_Select)*0.01</f>
        <v>7950000</v>
      </c>
      <c r="AB55" s="182">
        <f>SUMIFS($E$20:$E$49,$C$20:$C$49,$C55,'CBA Inputs'!$H$20:$H$49,"&lt;="&amp;AB$52,$J$20:$J$49,"&gt;="&amp;AB$52)*0.01+SUMIFS($O$20:$O$49,$M$20:$M$49,$C55,'CBA Inputs'!$R$20:$R$49,"&lt;="&amp;AB$52,$U$20:$U$49,"&gt;="&amp;AB$52,$T$20:$T$49,Scenario_Select)*0.01</f>
        <v>7950000</v>
      </c>
      <c r="AC55" s="182">
        <f>SUMIFS($E$20:$E$49,$C$20:$C$49,$C55,'CBA Inputs'!$H$20:$H$49,"&lt;="&amp;AC$52,$J$20:$J$49,"&gt;="&amp;AC$52)*0.01+SUMIFS($O$20:$O$49,$M$20:$M$49,$C55,'CBA Inputs'!$R$20:$R$49,"&lt;="&amp;AC$52,$U$20:$U$49,"&gt;="&amp;AC$52,$T$20:$T$49,Scenario_Select)*0.01</f>
        <v>7950000</v>
      </c>
      <c r="AD55" s="182">
        <f>SUMIFS($E$20:$E$49,$C$20:$C$49,$C55,'CBA Inputs'!$H$20:$H$49,"&lt;="&amp;AD$52,$J$20:$J$49,"&gt;="&amp;AD$52)*0.01+SUMIFS($O$20:$O$49,$M$20:$M$49,$C55,'CBA Inputs'!$R$20:$R$49,"&lt;="&amp;AD$52,$U$20:$U$49,"&gt;="&amp;AD$52,$T$20:$T$49,Scenario_Select)*0.01</f>
        <v>7950000</v>
      </c>
      <c r="AE55" s="182">
        <f>SUMIFS($E$20:$E$49,$C$20:$C$49,$C55,'CBA Inputs'!$H$20:$H$49,"&lt;="&amp;AE$52,$J$20:$J$49,"&gt;="&amp;AE$52)*0.01+SUMIFS($O$20:$O$49,$M$20:$M$49,$C55,'CBA Inputs'!$R$20:$R$49,"&lt;="&amp;AE$52,$U$20:$U$49,"&gt;="&amp;AE$52,$T$20:$T$49,Scenario_Select)*0.01</f>
        <v>7950000</v>
      </c>
      <c r="AF55" s="182">
        <f>SUMIFS($E$20:$E$49,$C$20:$C$49,$C55,'CBA Inputs'!$H$20:$H$49,"&lt;="&amp;AF$52,$J$20:$J$49,"&gt;="&amp;AF$52)*0.01+SUMIFS($O$20:$O$49,$M$20:$M$49,$C55,'CBA Inputs'!$R$20:$R$49,"&lt;="&amp;AF$52,$U$20:$U$49,"&gt;="&amp;AF$52,$T$20:$T$49,Scenario_Select)*0.01</f>
        <v>7950000</v>
      </c>
      <c r="AG55" s="182">
        <f>SUMIFS($E$20:$E$49,$C$20:$C$49,$C55,'CBA Inputs'!$H$20:$H$49,"&lt;="&amp;AG$52,$J$20:$J$49,"&gt;="&amp;AG$52)*0.01+SUMIFS($O$20:$O$49,$M$20:$M$49,$C55,'CBA Inputs'!$R$20:$R$49,"&lt;="&amp;AG$52,$U$20:$U$49,"&gt;="&amp;AG$52,$T$20:$T$49,Scenario_Select)*0.01</f>
        <v>7950000</v>
      </c>
      <c r="AH55" s="182">
        <f>SUMIFS($E$20:$E$49,$C$20:$C$49,$C55,'CBA Inputs'!$H$20:$H$49,"&lt;="&amp;AH$52,$J$20:$J$49,"&gt;="&amp;AH$52)*0.01+SUMIFS($O$20:$O$49,$M$20:$M$49,$C55,'CBA Inputs'!$R$20:$R$49,"&lt;="&amp;AH$52,$U$20:$U$49,"&gt;="&amp;AH$52,$T$20:$T$49,Scenario_Select)*0.01</f>
        <v>7950000</v>
      </c>
      <c r="AI55" s="182">
        <f>SUMIFS($E$20:$E$49,$C$20:$C$49,$C55,'CBA Inputs'!$H$20:$H$49,"&lt;="&amp;AI$52,$J$20:$J$49,"&gt;="&amp;AI$52)*0.01+SUMIFS($O$20:$O$49,$M$20:$M$49,$C55,'CBA Inputs'!$R$20:$R$49,"&lt;="&amp;AI$52,$U$20:$U$49,"&gt;="&amp;AI$52,$T$20:$T$49,Scenario_Select)*0.01</f>
        <v>7950000</v>
      </c>
      <c r="AJ55" s="102"/>
      <c r="AK55" s="187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</row>
    <row r="56" spans="1:65" x14ac:dyDescent="0.35">
      <c r="A56" s="83"/>
      <c r="B56" s="9">
        <v>2</v>
      </c>
      <c r="C56" s="122" t="str">
        <f>'Option inputs'!$C$16</f>
        <v>Option 1B</v>
      </c>
      <c r="D56" s="62"/>
      <c r="E56" s="68" t="s">
        <v>35</v>
      </c>
      <c r="F56" s="182">
        <f>SUMIFS($E$20:$E$49,$C$20:$C$49,$C56,'CBA Inputs'!$H$20:$H$49,"&lt;="&amp;F$52,$J$20:$J$49,"&gt;="&amp;F$52)*0.01+SUMIFS($O$20:$O$49,$M$20:$M$49,$C56,'CBA Inputs'!$R$20:$R$49,"&lt;="&amp;F$52,$U$20:$U$49,"&gt;="&amp;F$52,$T$20:$T$49,Scenario_Select)*0.01</f>
        <v>0</v>
      </c>
      <c r="G56" s="182">
        <f>SUMIFS($E$20:$E$49,$C$20:$C$49,$C56,'CBA Inputs'!$H$20:$H$49,"&lt;="&amp;G$52,$J$20:$J$49,"&gt;="&amp;G$52)*0.01+SUMIFS($O$20:$O$49,$M$20:$M$49,$C56,'CBA Inputs'!$R$20:$R$49,"&lt;="&amp;G$52,$U$20:$U$49,"&gt;="&amp;G$52,$T$20:$T$49,Scenario_Select)*0.01</f>
        <v>0</v>
      </c>
      <c r="H56" s="182">
        <f>SUMIFS($E$20:$E$49,$C$20:$C$49,$C56,'CBA Inputs'!$H$20:$H$49,"&lt;="&amp;H$52,$J$20:$J$49,"&gt;="&amp;H$52)*0.01+SUMIFS($O$20:$O$49,$M$20:$M$49,$C56,'CBA Inputs'!$R$20:$R$49,"&lt;="&amp;H$52,$U$20:$U$49,"&gt;="&amp;H$52,$T$20:$T$49,Scenario_Select)*0.01</f>
        <v>0</v>
      </c>
      <c r="I56" s="182">
        <f>SUMIFS($E$20:$E$49,$C$20:$C$49,$C56,'CBA Inputs'!$H$20:$H$49,"&lt;="&amp;I$52,$J$20:$J$49,"&gt;="&amp;I$52)*0.01+SUMIFS($O$20:$O$49,$M$20:$M$49,$C56,'CBA Inputs'!$R$20:$R$49,"&lt;="&amp;I$52,$U$20:$U$49,"&gt;="&amp;I$52,$T$20:$T$49,Scenario_Select)*0.01</f>
        <v>0</v>
      </c>
      <c r="J56" s="182">
        <f>SUMIFS($E$20:$E$49,$C$20:$C$49,$C56,'CBA Inputs'!$H$20:$H$49,"&lt;="&amp;J$52,$J$20:$J$49,"&gt;="&amp;J$52)*0.01+SUMIFS($O$20:$O$49,$M$20:$M$49,$C56,'CBA Inputs'!$R$20:$R$49,"&lt;="&amp;J$52,$U$20:$U$49,"&gt;="&amp;J$52,$T$20:$T$49,Scenario_Select)*0.01</f>
        <v>0</v>
      </c>
      <c r="K56" s="182">
        <f>SUMIFS($E$20:$E$49,$C$20:$C$49,$C56,'CBA Inputs'!$H$20:$H$49,"&lt;="&amp;K$52,$J$20:$J$49,"&gt;="&amp;K$52)*0.01+SUMIFS($O$20:$O$49,$M$20:$M$49,$C56,'CBA Inputs'!$R$20:$R$49,"&lt;="&amp;K$52,$U$20:$U$49,"&gt;="&amp;K$52,$T$20:$T$49,Scenario_Select)*0.01</f>
        <v>9570000</v>
      </c>
      <c r="L56" s="182">
        <f>SUMIFS($E$20:$E$49,$C$20:$C$49,$C56,'CBA Inputs'!$H$20:$H$49,"&lt;="&amp;L$52,$J$20:$J$49,"&gt;="&amp;L$52)*0.01+SUMIFS($O$20:$O$49,$M$20:$M$49,$C56,'CBA Inputs'!$R$20:$R$49,"&lt;="&amp;L$52,$U$20:$U$49,"&gt;="&amp;L$52,$T$20:$T$49,Scenario_Select)*0.01</f>
        <v>9570000</v>
      </c>
      <c r="M56" s="182">
        <f>SUMIFS($E$20:$E$49,$C$20:$C$49,$C56,'CBA Inputs'!$H$20:$H$49,"&lt;="&amp;M$52,$J$20:$J$49,"&gt;="&amp;M$52)*0.01+SUMIFS($O$20:$O$49,$M$20:$M$49,$C56,'CBA Inputs'!$R$20:$R$49,"&lt;="&amp;M$52,$U$20:$U$49,"&gt;="&amp;M$52,$T$20:$T$49,Scenario_Select)*0.01</f>
        <v>9570000</v>
      </c>
      <c r="N56" s="182">
        <f>SUMIFS($E$20:$E$49,$C$20:$C$49,$C56,'CBA Inputs'!$H$20:$H$49,"&lt;="&amp;N$52,$J$20:$J$49,"&gt;="&amp;N$52)*0.01+SUMIFS($O$20:$O$49,$M$20:$M$49,$C56,'CBA Inputs'!$R$20:$R$49,"&lt;="&amp;N$52,$U$20:$U$49,"&gt;="&amp;N$52,$T$20:$T$49,Scenario_Select)*0.01</f>
        <v>9570000</v>
      </c>
      <c r="O56" s="182">
        <f>SUMIFS($E$20:$E$49,$C$20:$C$49,$C56,'CBA Inputs'!$H$20:$H$49,"&lt;="&amp;O$52,$J$20:$J$49,"&gt;="&amp;O$52)*0.01+SUMIFS($O$20:$O$49,$M$20:$M$49,$C56,'CBA Inputs'!$R$20:$R$49,"&lt;="&amp;O$52,$U$20:$U$49,"&gt;="&amp;O$52,$T$20:$T$49,Scenario_Select)*0.01</f>
        <v>9570000</v>
      </c>
      <c r="P56" s="182">
        <f>SUMIFS($E$20:$E$49,$C$20:$C$49,$C56,'CBA Inputs'!$H$20:$H$49,"&lt;="&amp;P$52,$J$20:$J$49,"&gt;="&amp;P$52)*0.01+SUMIFS($O$20:$O$49,$M$20:$M$49,$C56,'CBA Inputs'!$R$20:$R$49,"&lt;="&amp;P$52,$U$20:$U$49,"&gt;="&amp;P$52,$T$20:$T$49,Scenario_Select)*0.01</f>
        <v>10740000</v>
      </c>
      <c r="Q56" s="182">
        <f>SUMIFS($E$20:$E$49,$C$20:$C$49,$C56,'CBA Inputs'!$H$20:$H$49,"&lt;="&amp;Q$52,$J$20:$J$49,"&gt;="&amp;Q$52)*0.01+SUMIFS($O$20:$O$49,$M$20:$M$49,$C56,'CBA Inputs'!$R$20:$R$49,"&lt;="&amp;Q$52,$U$20:$U$49,"&gt;="&amp;Q$52,$T$20:$T$49,Scenario_Select)*0.01</f>
        <v>10740000</v>
      </c>
      <c r="R56" s="182">
        <f>SUMIFS($E$20:$E$49,$C$20:$C$49,$C56,'CBA Inputs'!$H$20:$H$49,"&lt;="&amp;R$52,$J$20:$J$49,"&gt;="&amp;R$52)*0.01+SUMIFS($O$20:$O$49,$M$20:$M$49,$C56,'CBA Inputs'!$R$20:$R$49,"&lt;="&amp;R$52,$U$20:$U$49,"&gt;="&amp;R$52,$T$20:$T$49,Scenario_Select)*0.01</f>
        <v>10740000</v>
      </c>
      <c r="S56" s="182">
        <f>SUMIFS($E$20:$E$49,$C$20:$C$49,$C56,'CBA Inputs'!$H$20:$H$49,"&lt;="&amp;S$52,$J$20:$J$49,"&gt;="&amp;S$52)*0.01+SUMIFS($O$20:$O$49,$M$20:$M$49,$C56,'CBA Inputs'!$R$20:$R$49,"&lt;="&amp;S$52,$U$20:$U$49,"&gt;="&amp;S$52,$T$20:$T$49,Scenario_Select)*0.01</f>
        <v>10740000</v>
      </c>
      <c r="T56" s="182">
        <f>SUMIFS($E$20:$E$49,$C$20:$C$49,$C56,'CBA Inputs'!$H$20:$H$49,"&lt;="&amp;T$52,$J$20:$J$49,"&gt;="&amp;T$52)*0.01+SUMIFS($O$20:$O$49,$M$20:$M$49,$C56,'CBA Inputs'!$R$20:$R$49,"&lt;="&amp;T$52,$U$20:$U$49,"&gt;="&amp;T$52,$T$20:$T$49,Scenario_Select)*0.01</f>
        <v>10740000</v>
      </c>
      <c r="U56" s="182">
        <f>SUMIFS($E$20:$E$49,$C$20:$C$49,$C56,'CBA Inputs'!$H$20:$H$49,"&lt;="&amp;U$52,$J$20:$J$49,"&gt;="&amp;U$52)*0.01+SUMIFS($O$20:$O$49,$M$20:$M$49,$C56,'CBA Inputs'!$R$20:$R$49,"&lt;="&amp;U$52,$U$20:$U$49,"&gt;="&amp;U$52,$T$20:$T$49,Scenario_Select)*0.01</f>
        <v>10740000</v>
      </c>
      <c r="V56" s="182">
        <f>SUMIFS($E$20:$E$49,$C$20:$C$49,$C56,'CBA Inputs'!$H$20:$H$49,"&lt;="&amp;V$52,$J$20:$J$49,"&gt;="&amp;V$52)*0.01+SUMIFS($O$20:$O$49,$M$20:$M$49,$C56,'CBA Inputs'!$R$20:$R$49,"&lt;="&amp;V$52,$U$20:$U$49,"&gt;="&amp;V$52,$T$20:$T$49,Scenario_Select)*0.01</f>
        <v>10740000</v>
      </c>
      <c r="W56" s="182">
        <f>SUMIFS($E$20:$E$49,$C$20:$C$49,$C56,'CBA Inputs'!$H$20:$H$49,"&lt;="&amp;W$52,$J$20:$J$49,"&gt;="&amp;W$52)*0.01+SUMIFS($O$20:$O$49,$M$20:$M$49,$C56,'CBA Inputs'!$R$20:$R$49,"&lt;="&amp;W$52,$U$20:$U$49,"&gt;="&amp;W$52,$T$20:$T$49,Scenario_Select)*0.01</f>
        <v>10740000</v>
      </c>
      <c r="X56" s="182">
        <f>SUMIFS($E$20:$E$49,$C$20:$C$49,$C56,'CBA Inputs'!$H$20:$H$49,"&lt;="&amp;X$52,$J$20:$J$49,"&gt;="&amp;X$52)*0.01+SUMIFS($O$20:$O$49,$M$20:$M$49,$C56,'CBA Inputs'!$R$20:$R$49,"&lt;="&amp;X$52,$U$20:$U$49,"&gt;="&amp;X$52,$T$20:$T$49,Scenario_Select)*0.01</f>
        <v>10740000</v>
      </c>
      <c r="Y56" s="182">
        <f>SUMIFS($E$20:$E$49,$C$20:$C$49,$C56,'CBA Inputs'!$H$20:$H$49,"&lt;="&amp;Y$52,$J$20:$J$49,"&gt;="&amp;Y$52)*0.01+SUMIFS($O$20:$O$49,$M$20:$M$49,$C56,'CBA Inputs'!$R$20:$R$49,"&lt;="&amp;Y$52,$U$20:$U$49,"&gt;="&amp;Y$52,$T$20:$T$49,Scenario_Select)*0.01</f>
        <v>10740000</v>
      </c>
      <c r="Z56" s="182">
        <f>SUMIFS($E$20:$E$49,$C$20:$C$49,$C56,'CBA Inputs'!$H$20:$H$49,"&lt;="&amp;Z$52,$J$20:$J$49,"&gt;="&amp;Z$52)*0.01+SUMIFS($O$20:$O$49,$M$20:$M$49,$C56,'CBA Inputs'!$R$20:$R$49,"&lt;="&amp;Z$52,$U$20:$U$49,"&gt;="&amp;Z$52,$T$20:$T$49,Scenario_Select)*0.01</f>
        <v>10740000</v>
      </c>
      <c r="AA56" s="182">
        <f>SUMIFS($E$20:$E$49,$C$20:$C$49,$C56,'CBA Inputs'!$H$20:$H$49,"&lt;="&amp;AA$52,$J$20:$J$49,"&gt;="&amp;AA$52)*0.01+SUMIFS($O$20:$O$49,$M$20:$M$49,$C56,'CBA Inputs'!$R$20:$R$49,"&lt;="&amp;AA$52,$U$20:$U$49,"&gt;="&amp;AA$52,$T$20:$T$49,Scenario_Select)*0.01</f>
        <v>10740000</v>
      </c>
      <c r="AB56" s="182">
        <f>SUMIFS($E$20:$E$49,$C$20:$C$49,$C56,'CBA Inputs'!$H$20:$H$49,"&lt;="&amp;AB$52,$J$20:$J$49,"&gt;="&amp;AB$52)*0.01+SUMIFS($O$20:$O$49,$M$20:$M$49,$C56,'CBA Inputs'!$R$20:$R$49,"&lt;="&amp;AB$52,$U$20:$U$49,"&gt;="&amp;AB$52,$T$20:$T$49,Scenario_Select)*0.01</f>
        <v>10740000</v>
      </c>
      <c r="AC56" s="182">
        <f>SUMIFS($E$20:$E$49,$C$20:$C$49,$C56,'CBA Inputs'!$H$20:$H$49,"&lt;="&amp;AC$52,$J$20:$J$49,"&gt;="&amp;AC$52)*0.01+SUMIFS($O$20:$O$49,$M$20:$M$49,$C56,'CBA Inputs'!$R$20:$R$49,"&lt;="&amp;AC$52,$U$20:$U$49,"&gt;="&amp;AC$52,$T$20:$T$49,Scenario_Select)*0.01</f>
        <v>10740000</v>
      </c>
      <c r="AD56" s="182">
        <f>SUMIFS($E$20:$E$49,$C$20:$C$49,$C56,'CBA Inputs'!$H$20:$H$49,"&lt;="&amp;AD$52,$J$20:$J$49,"&gt;="&amp;AD$52)*0.01+SUMIFS($O$20:$O$49,$M$20:$M$49,$C56,'CBA Inputs'!$R$20:$R$49,"&lt;="&amp;AD$52,$U$20:$U$49,"&gt;="&amp;AD$52,$T$20:$T$49,Scenario_Select)*0.01</f>
        <v>10740000</v>
      </c>
      <c r="AE56" s="182">
        <f>SUMIFS($E$20:$E$49,$C$20:$C$49,$C56,'CBA Inputs'!$H$20:$H$49,"&lt;="&amp;AE$52,$J$20:$J$49,"&gt;="&amp;AE$52)*0.01+SUMIFS($O$20:$O$49,$M$20:$M$49,$C56,'CBA Inputs'!$R$20:$R$49,"&lt;="&amp;AE$52,$U$20:$U$49,"&gt;="&amp;AE$52,$T$20:$T$49,Scenario_Select)*0.01</f>
        <v>10740000</v>
      </c>
      <c r="AF56" s="182">
        <f>SUMIFS($E$20:$E$49,$C$20:$C$49,$C56,'CBA Inputs'!$H$20:$H$49,"&lt;="&amp;AF$52,$J$20:$J$49,"&gt;="&amp;AF$52)*0.01+SUMIFS($O$20:$O$49,$M$20:$M$49,$C56,'CBA Inputs'!$R$20:$R$49,"&lt;="&amp;AF$52,$U$20:$U$49,"&gt;="&amp;AF$52,$T$20:$T$49,Scenario_Select)*0.01</f>
        <v>10740000</v>
      </c>
      <c r="AG56" s="182">
        <f>SUMIFS($E$20:$E$49,$C$20:$C$49,$C56,'CBA Inputs'!$H$20:$H$49,"&lt;="&amp;AG$52,$J$20:$J$49,"&gt;="&amp;AG$52)*0.01+SUMIFS($O$20:$O$49,$M$20:$M$49,$C56,'CBA Inputs'!$R$20:$R$49,"&lt;="&amp;AG$52,$U$20:$U$49,"&gt;="&amp;AG$52,$T$20:$T$49,Scenario_Select)*0.01</f>
        <v>10740000</v>
      </c>
      <c r="AH56" s="182">
        <f>SUMIFS($E$20:$E$49,$C$20:$C$49,$C56,'CBA Inputs'!$H$20:$H$49,"&lt;="&amp;AH$52,$J$20:$J$49,"&gt;="&amp;AH$52)*0.01+SUMIFS($O$20:$O$49,$M$20:$M$49,$C56,'CBA Inputs'!$R$20:$R$49,"&lt;="&amp;AH$52,$U$20:$U$49,"&gt;="&amp;AH$52,$T$20:$T$49,Scenario_Select)*0.01</f>
        <v>10740000</v>
      </c>
      <c r="AI56" s="182">
        <f>SUMIFS($E$20:$E$49,$C$20:$C$49,$C56,'CBA Inputs'!$H$20:$H$49,"&lt;="&amp;AI$52,$J$20:$J$49,"&gt;="&amp;AI$52)*0.01+SUMIFS($O$20:$O$49,$M$20:$M$49,$C56,'CBA Inputs'!$R$20:$R$49,"&lt;="&amp;AI$52,$U$20:$U$49,"&gt;="&amp;AI$52,$T$20:$T$49,Scenario_Select)*0.01</f>
        <v>10740000</v>
      </c>
      <c r="AJ56" s="102"/>
      <c r="AK56" s="187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</row>
    <row r="57" spans="1:65" x14ac:dyDescent="0.35">
      <c r="A57" s="83"/>
      <c r="B57" s="9">
        <v>3</v>
      </c>
      <c r="C57" s="122" t="str">
        <f>'Option inputs'!$C$17</f>
        <v>Option 1C</v>
      </c>
      <c r="D57" s="62"/>
      <c r="E57" s="68" t="s">
        <v>35</v>
      </c>
      <c r="F57" s="182">
        <f>SUMIFS($E$20:$E$49,$C$20:$C$49,$C57,'CBA Inputs'!$H$20:$H$49,"&lt;="&amp;F$52,$J$20:$J$49,"&gt;="&amp;F$52)*0.01+SUMIFS($O$20:$O$49,$M$20:$M$49,$C57,'CBA Inputs'!$R$20:$R$49,"&lt;="&amp;F$52,$U$20:$U$49,"&gt;="&amp;F$52,$T$20:$T$49,Scenario_Select)*0.01</f>
        <v>0</v>
      </c>
      <c r="G57" s="182">
        <f>SUMIFS($E$20:$E$49,$C$20:$C$49,$C57,'CBA Inputs'!$H$20:$H$49,"&lt;="&amp;G$52,$J$20:$J$49,"&gt;="&amp;G$52)*0.01+SUMIFS($O$20:$O$49,$M$20:$M$49,$C57,'CBA Inputs'!$R$20:$R$49,"&lt;="&amp;G$52,$U$20:$U$49,"&gt;="&amp;G$52,$T$20:$T$49,Scenario_Select)*0.01</f>
        <v>0</v>
      </c>
      <c r="H57" s="182">
        <f>SUMIFS($E$20:$E$49,$C$20:$C$49,$C57,'CBA Inputs'!$H$20:$H$49,"&lt;="&amp;H$52,$J$20:$J$49,"&gt;="&amp;H$52)*0.01+SUMIFS($O$20:$O$49,$M$20:$M$49,$C57,'CBA Inputs'!$R$20:$R$49,"&lt;="&amp;H$52,$U$20:$U$49,"&gt;="&amp;H$52,$T$20:$T$49,Scenario_Select)*0.01</f>
        <v>0</v>
      </c>
      <c r="I57" s="182">
        <f>SUMIFS($E$20:$E$49,$C$20:$C$49,$C57,'CBA Inputs'!$H$20:$H$49,"&lt;="&amp;I$52,$J$20:$J$49,"&gt;="&amp;I$52)*0.01+SUMIFS($O$20:$O$49,$M$20:$M$49,$C57,'CBA Inputs'!$R$20:$R$49,"&lt;="&amp;I$52,$U$20:$U$49,"&gt;="&amp;I$52,$T$20:$T$49,Scenario_Select)*0.01</f>
        <v>0</v>
      </c>
      <c r="J57" s="182">
        <f>SUMIFS($E$20:$E$49,$C$20:$C$49,$C57,'CBA Inputs'!$H$20:$H$49,"&lt;="&amp;J$52,$J$20:$J$49,"&gt;="&amp;J$52)*0.01+SUMIFS($O$20:$O$49,$M$20:$M$49,$C57,'CBA Inputs'!$R$20:$R$49,"&lt;="&amp;J$52,$U$20:$U$49,"&gt;="&amp;J$52,$T$20:$T$49,Scenario_Select)*0.01</f>
        <v>0</v>
      </c>
      <c r="K57" s="182">
        <f>SUMIFS($E$20:$E$49,$C$20:$C$49,$C57,'CBA Inputs'!$H$20:$H$49,"&lt;="&amp;K$52,$J$20:$J$49,"&gt;="&amp;K$52)*0.01+SUMIFS($O$20:$O$49,$M$20:$M$49,$C57,'CBA Inputs'!$R$20:$R$49,"&lt;="&amp;K$52,$U$20:$U$49,"&gt;="&amp;K$52,$T$20:$T$49,Scenario_Select)*0.01</f>
        <v>10600000</v>
      </c>
      <c r="L57" s="182">
        <f>SUMIFS($E$20:$E$49,$C$20:$C$49,$C57,'CBA Inputs'!$H$20:$H$49,"&lt;="&amp;L$52,$J$20:$J$49,"&gt;="&amp;L$52)*0.01+SUMIFS($O$20:$O$49,$M$20:$M$49,$C57,'CBA Inputs'!$R$20:$R$49,"&lt;="&amp;L$52,$U$20:$U$49,"&gt;="&amp;L$52,$T$20:$T$49,Scenario_Select)*0.01</f>
        <v>10600000</v>
      </c>
      <c r="M57" s="182">
        <f>SUMIFS($E$20:$E$49,$C$20:$C$49,$C57,'CBA Inputs'!$H$20:$H$49,"&lt;="&amp;M$52,$J$20:$J$49,"&gt;="&amp;M$52)*0.01+SUMIFS($O$20:$O$49,$M$20:$M$49,$C57,'CBA Inputs'!$R$20:$R$49,"&lt;="&amp;M$52,$U$20:$U$49,"&gt;="&amp;M$52,$T$20:$T$49,Scenario_Select)*0.01</f>
        <v>10600000</v>
      </c>
      <c r="N57" s="182">
        <f>SUMIFS($E$20:$E$49,$C$20:$C$49,$C57,'CBA Inputs'!$H$20:$H$49,"&lt;="&amp;N$52,$J$20:$J$49,"&gt;="&amp;N$52)*0.01+SUMIFS($O$20:$O$49,$M$20:$M$49,$C57,'CBA Inputs'!$R$20:$R$49,"&lt;="&amp;N$52,$U$20:$U$49,"&gt;="&amp;N$52,$T$20:$T$49,Scenario_Select)*0.01</f>
        <v>10600000</v>
      </c>
      <c r="O57" s="182">
        <f>SUMIFS($E$20:$E$49,$C$20:$C$49,$C57,'CBA Inputs'!$H$20:$H$49,"&lt;="&amp;O$52,$J$20:$J$49,"&gt;="&amp;O$52)*0.01+SUMIFS($O$20:$O$49,$M$20:$M$49,$C57,'CBA Inputs'!$R$20:$R$49,"&lt;="&amp;O$52,$U$20:$U$49,"&gt;="&amp;O$52,$T$20:$T$49,Scenario_Select)*0.01</f>
        <v>10600000</v>
      </c>
      <c r="P57" s="182">
        <f>SUMIFS($E$20:$E$49,$C$20:$C$49,$C57,'CBA Inputs'!$H$20:$H$49,"&lt;="&amp;P$52,$J$20:$J$49,"&gt;="&amp;P$52)*0.01+SUMIFS($O$20:$O$49,$M$20:$M$49,$C57,'CBA Inputs'!$R$20:$R$49,"&lt;="&amp;P$52,$U$20:$U$49,"&gt;="&amp;P$52,$T$20:$T$49,Scenario_Select)*0.01</f>
        <v>10600000</v>
      </c>
      <c r="Q57" s="182">
        <f>SUMIFS($E$20:$E$49,$C$20:$C$49,$C57,'CBA Inputs'!$H$20:$H$49,"&lt;="&amp;Q$52,$J$20:$J$49,"&gt;="&amp;Q$52)*0.01+SUMIFS($O$20:$O$49,$M$20:$M$49,$C57,'CBA Inputs'!$R$20:$R$49,"&lt;="&amp;Q$52,$U$20:$U$49,"&gt;="&amp;Q$52,$T$20:$T$49,Scenario_Select)*0.01</f>
        <v>10600000</v>
      </c>
      <c r="R57" s="182">
        <f>SUMIFS($E$20:$E$49,$C$20:$C$49,$C57,'CBA Inputs'!$H$20:$H$49,"&lt;="&amp;R$52,$J$20:$J$49,"&gt;="&amp;R$52)*0.01+SUMIFS($O$20:$O$49,$M$20:$M$49,$C57,'CBA Inputs'!$R$20:$R$49,"&lt;="&amp;R$52,$U$20:$U$49,"&gt;="&amp;R$52,$T$20:$T$49,Scenario_Select)*0.01</f>
        <v>10600000</v>
      </c>
      <c r="S57" s="182">
        <f>SUMIFS($E$20:$E$49,$C$20:$C$49,$C57,'CBA Inputs'!$H$20:$H$49,"&lt;="&amp;S$52,$J$20:$J$49,"&gt;="&amp;S$52)*0.01+SUMIFS($O$20:$O$49,$M$20:$M$49,$C57,'CBA Inputs'!$R$20:$R$49,"&lt;="&amp;S$52,$U$20:$U$49,"&gt;="&amp;S$52,$T$20:$T$49,Scenario_Select)*0.01</f>
        <v>10600000</v>
      </c>
      <c r="T57" s="182">
        <f>SUMIFS($E$20:$E$49,$C$20:$C$49,$C57,'CBA Inputs'!$H$20:$H$49,"&lt;="&amp;T$52,$J$20:$J$49,"&gt;="&amp;T$52)*0.01+SUMIFS($O$20:$O$49,$M$20:$M$49,$C57,'CBA Inputs'!$R$20:$R$49,"&lt;="&amp;T$52,$U$20:$U$49,"&gt;="&amp;T$52,$T$20:$T$49,Scenario_Select)*0.01</f>
        <v>10600000</v>
      </c>
      <c r="U57" s="182">
        <f>SUMIFS($E$20:$E$49,$C$20:$C$49,$C57,'CBA Inputs'!$H$20:$H$49,"&lt;="&amp;U$52,$J$20:$J$49,"&gt;="&amp;U$52)*0.01+SUMIFS($O$20:$O$49,$M$20:$M$49,$C57,'CBA Inputs'!$R$20:$R$49,"&lt;="&amp;U$52,$U$20:$U$49,"&gt;="&amp;U$52,$T$20:$T$49,Scenario_Select)*0.01</f>
        <v>10600000</v>
      </c>
      <c r="V57" s="182">
        <f>SUMIFS($E$20:$E$49,$C$20:$C$49,$C57,'CBA Inputs'!$H$20:$H$49,"&lt;="&amp;V$52,$J$20:$J$49,"&gt;="&amp;V$52)*0.01+SUMIFS($O$20:$O$49,$M$20:$M$49,$C57,'CBA Inputs'!$R$20:$R$49,"&lt;="&amp;V$52,$U$20:$U$49,"&gt;="&amp;V$52,$T$20:$T$49,Scenario_Select)*0.01</f>
        <v>10600000</v>
      </c>
      <c r="W57" s="182">
        <f>SUMIFS($E$20:$E$49,$C$20:$C$49,$C57,'CBA Inputs'!$H$20:$H$49,"&lt;="&amp;W$52,$J$20:$J$49,"&gt;="&amp;W$52)*0.01+SUMIFS($O$20:$O$49,$M$20:$M$49,$C57,'CBA Inputs'!$R$20:$R$49,"&lt;="&amp;W$52,$U$20:$U$49,"&gt;="&amp;W$52,$T$20:$T$49,Scenario_Select)*0.01</f>
        <v>10600000</v>
      </c>
      <c r="X57" s="182">
        <f>SUMIFS($E$20:$E$49,$C$20:$C$49,$C57,'CBA Inputs'!$H$20:$H$49,"&lt;="&amp;X$52,$J$20:$J$49,"&gt;="&amp;X$52)*0.01+SUMIFS($O$20:$O$49,$M$20:$M$49,$C57,'CBA Inputs'!$R$20:$R$49,"&lt;="&amp;X$52,$U$20:$U$49,"&gt;="&amp;X$52,$T$20:$T$49,Scenario_Select)*0.01</f>
        <v>10600000</v>
      </c>
      <c r="Y57" s="182">
        <f>SUMIFS($E$20:$E$49,$C$20:$C$49,$C57,'CBA Inputs'!$H$20:$H$49,"&lt;="&amp;Y$52,$J$20:$J$49,"&gt;="&amp;Y$52)*0.01+SUMIFS($O$20:$O$49,$M$20:$M$49,$C57,'CBA Inputs'!$R$20:$R$49,"&lt;="&amp;Y$52,$U$20:$U$49,"&gt;="&amp;Y$52,$T$20:$T$49,Scenario_Select)*0.01</f>
        <v>10600000</v>
      </c>
      <c r="Z57" s="182">
        <f>SUMIFS($E$20:$E$49,$C$20:$C$49,$C57,'CBA Inputs'!$H$20:$H$49,"&lt;="&amp;Z$52,$J$20:$J$49,"&gt;="&amp;Z$52)*0.01+SUMIFS($O$20:$O$49,$M$20:$M$49,$C57,'CBA Inputs'!$R$20:$R$49,"&lt;="&amp;Z$52,$U$20:$U$49,"&gt;="&amp;Z$52,$T$20:$T$49,Scenario_Select)*0.01</f>
        <v>10600000</v>
      </c>
      <c r="AA57" s="182">
        <f>SUMIFS($E$20:$E$49,$C$20:$C$49,$C57,'CBA Inputs'!$H$20:$H$49,"&lt;="&amp;AA$52,$J$20:$J$49,"&gt;="&amp;AA$52)*0.01+SUMIFS($O$20:$O$49,$M$20:$M$49,$C57,'CBA Inputs'!$R$20:$R$49,"&lt;="&amp;AA$52,$U$20:$U$49,"&gt;="&amp;AA$52,$T$20:$T$49,Scenario_Select)*0.01</f>
        <v>10600000</v>
      </c>
      <c r="AB57" s="182">
        <f>SUMIFS($E$20:$E$49,$C$20:$C$49,$C57,'CBA Inputs'!$H$20:$H$49,"&lt;="&amp;AB$52,$J$20:$J$49,"&gt;="&amp;AB$52)*0.01+SUMIFS($O$20:$O$49,$M$20:$M$49,$C57,'CBA Inputs'!$R$20:$R$49,"&lt;="&amp;AB$52,$U$20:$U$49,"&gt;="&amp;AB$52,$T$20:$T$49,Scenario_Select)*0.01</f>
        <v>10600000</v>
      </c>
      <c r="AC57" s="182">
        <f>SUMIFS($E$20:$E$49,$C$20:$C$49,$C57,'CBA Inputs'!$H$20:$H$49,"&lt;="&amp;AC$52,$J$20:$J$49,"&gt;="&amp;AC$52)*0.01+SUMIFS($O$20:$O$49,$M$20:$M$49,$C57,'CBA Inputs'!$R$20:$R$49,"&lt;="&amp;AC$52,$U$20:$U$49,"&gt;="&amp;AC$52,$T$20:$T$49,Scenario_Select)*0.01</f>
        <v>10600000</v>
      </c>
      <c r="AD57" s="182">
        <f>SUMIFS($E$20:$E$49,$C$20:$C$49,$C57,'CBA Inputs'!$H$20:$H$49,"&lt;="&amp;AD$52,$J$20:$J$49,"&gt;="&amp;AD$52)*0.01+SUMIFS($O$20:$O$49,$M$20:$M$49,$C57,'CBA Inputs'!$R$20:$R$49,"&lt;="&amp;AD$52,$U$20:$U$49,"&gt;="&amp;AD$52,$T$20:$T$49,Scenario_Select)*0.01</f>
        <v>10600000</v>
      </c>
      <c r="AE57" s="182">
        <f>SUMIFS($E$20:$E$49,$C$20:$C$49,$C57,'CBA Inputs'!$H$20:$H$49,"&lt;="&amp;AE$52,$J$20:$J$49,"&gt;="&amp;AE$52)*0.01+SUMIFS($O$20:$O$49,$M$20:$M$49,$C57,'CBA Inputs'!$R$20:$R$49,"&lt;="&amp;AE$52,$U$20:$U$49,"&gt;="&amp;AE$52,$T$20:$T$49,Scenario_Select)*0.01</f>
        <v>10600000</v>
      </c>
      <c r="AF57" s="182">
        <f>SUMIFS($E$20:$E$49,$C$20:$C$49,$C57,'CBA Inputs'!$H$20:$H$49,"&lt;="&amp;AF$52,$J$20:$J$49,"&gt;="&amp;AF$52)*0.01+SUMIFS($O$20:$O$49,$M$20:$M$49,$C57,'CBA Inputs'!$R$20:$R$49,"&lt;="&amp;AF$52,$U$20:$U$49,"&gt;="&amp;AF$52,$T$20:$T$49,Scenario_Select)*0.01</f>
        <v>10600000</v>
      </c>
      <c r="AG57" s="182">
        <f>SUMIFS($E$20:$E$49,$C$20:$C$49,$C57,'CBA Inputs'!$H$20:$H$49,"&lt;="&amp;AG$52,$J$20:$J$49,"&gt;="&amp;AG$52)*0.01+SUMIFS($O$20:$O$49,$M$20:$M$49,$C57,'CBA Inputs'!$R$20:$R$49,"&lt;="&amp;AG$52,$U$20:$U$49,"&gt;="&amp;AG$52,$T$20:$T$49,Scenario_Select)*0.01</f>
        <v>10600000</v>
      </c>
      <c r="AH57" s="182">
        <f>SUMIFS($E$20:$E$49,$C$20:$C$49,$C57,'CBA Inputs'!$H$20:$H$49,"&lt;="&amp;AH$52,$J$20:$J$49,"&gt;="&amp;AH$52)*0.01+SUMIFS($O$20:$O$49,$M$20:$M$49,$C57,'CBA Inputs'!$R$20:$R$49,"&lt;="&amp;AH$52,$U$20:$U$49,"&gt;="&amp;AH$52,$T$20:$T$49,Scenario_Select)*0.01</f>
        <v>10600000</v>
      </c>
      <c r="AI57" s="182">
        <f>SUMIFS($E$20:$E$49,$C$20:$C$49,$C57,'CBA Inputs'!$H$20:$H$49,"&lt;="&amp;AI$52,$J$20:$J$49,"&gt;="&amp;AI$52)*0.01+SUMIFS($O$20:$O$49,$M$20:$M$49,$C57,'CBA Inputs'!$R$20:$R$49,"&lt;="&amp;AI$52,$U$20:$U$49,"&gt;="&amp;AI$52,$T$20:$T$49,Scenario_Select)*0.01</f>
        <v>10600000</v>
      </c>
      <c r="AJ57" s="102"/>
      <c r="AK57" s="187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</row>
    <row r="58" spans="1:65" x14ac:dyDescent="0.35">
      <c r="A58" s="83"/>
      <c r="B58" s="9">
        <v>4</v>
      </c>
      <c r="C58" s="122" t="str">
        <f>'Option inputs'!$C$18</f>
        <v>Option 2A</v>
      </c>
      <c r="D58" s="62"/>
      <c r="E58" s="68" t="s">
        <v>35</v>
      </c>
      <c r="F58" s="182">
        <f>SUMIFS($E$20:$E$49,$C$20:$C$49,$C58,'CBA Inputs'!$H$20:$H$49,"&lt;="&amp;F$52,$J$20:$J$49,"&gt;="&amp;F$52)*0.01+SUMIFS($O$20:$O$49,$M$20:$M$49,$C58,'CBA Inputs'!$R$20:$R$49,"&lt;="&amp;F$52,$U$20:$U$49,"&gt;="&amp;F$52,$T$20:$T$49,Scenario_Select)*0.01</f>
        <v>0</v>
      </c>
      <c r="G58" s="182">
        <f>SUMIFS($E$20:$E$49,$C$20:$C$49,$C58,'CBA Inputs'!$H$20:$H$49,"&lt;="&amp;G$52,$J$20:$J$49,"&gt;="&amp;G$52)*0.01+SUMIFS($O$20:$O$49,$M$20:$M$49,$C58,'CBA Inputs'!$R$20:$R$49,"&lt;="&amp;G$52,$U$20:$U$49,"&gt;="&amp;G$52,$T$20:$T$49,Scenario_Select)*0.01</f>
        <v>0</v>
      </c>
      <c r="H58" s="182">
        <f>SUMIFS($E$20:$E$49,$C$20:$C$49,$C58,'CBA Inputs'!$H$20:$H$49,"&lt;="&amp;H$52,$J$20:$J$49,"&gt;="&amp;H$52)*0.01+SUMIFS($O$20:$O$49,$M$20:$M$49,$C58,'CBA Inputs'!$R$20:$R$49,"&lt;="&amp;H$52,$U$20:$U$49,"&gt;="&amp;H$52,$T$20:$T$49,Scenario_Select)*0.01</f>
        <v>0</v>
      </c>
      <c r="I58" s="182">
        <f>SUMIFS($E$20:$E$49,$C$20:$C$49,$C58,'CBA Inputs'!$H$20:$H$49,"&lt;="&amp;I$52,$J$20:$J$49,"&gt;="&amp;I$52)*0.01+SUMIFS($O$20:$O$49,$M$20:$M$49,$C58,'CBA Inputs'!$R$20:$R$49,"&lt;="&amp;I$52,$U$20:$U$49,"&gt;="&amp;I$52,$T$20:$T$49,Scenario_Select)*0.01</f>
        <v>0</v>
      </c>
      <c r="J58" s="182">
        <f>SUMIFS($E$20:$E$49,$C$20:$C$49,$C58,'CBA Inputs'!$H$20:$H$49,"&lt;="&amp;J$52,$J$20:$J$49,"&gt;="&amp;J$52)*0.01+SUMIFS($O$20:$O$49,$M$20:$M$49,$C58,'CBA Inputs'!$R$20:$R$49,"&lt;="&amp;J$52,$U$20:$U$49,"&gt;="&amp;J$52,$T$20:$T$49,Scenario_Select)*0.01</f>
        <v>0</v>
      </c>
      <c r="K58" s="182">
        <f>SUMIFS($E$20:$E$49,$C$20:$C$49,$C58,'CBA Inputs'!$H$20:$H$49,"&lt;="&amp;K$52,$J$20:$J$49,"&gt;="&amp;K$52)*0.01+SUMIFS($O$20:$O$49,$M$20:$M$49,$C58,'CBA Inputs'!$R$20:$R$49,"&lt;="&amp;K$52,$U$20:$U$49,"&gt;="&amp;K$52,$T$20:$T$49,Scenario_Select)*0.01</f>
        <v>12450000</v>
      </c>
      <c r="L58" s="182">
        <f>SUMIFS($E$20:$E$49,$C$20:$C$49,$C58,'CBA Inputs'!$H$20:$H$49,"&lt;="&amp;L$52,$J$20:$J$49,"&gt;="&amp;L$52)*0.01+SUMIFS($O$20:$O$49,$M$20:$M$49,$C58,'CBA Inputs'!$R$20:$R$49,"&lt;="&amp;L$52,$U$20:$U$49,"&gt;="&amp;L$52,$T$20:$T$49,Scenario_Select)*0.01</f>
        <v>12450000</v>
      </c>
      <c r="M58" s="182">
        <f>SUMIFS($E$20:$E$49,$C$20:$C$49,$C58,'CBA Inputs'!$H$20:$H$49,"&lt;="&amp;M$52,$J$20:$J$49,"&gt;="&amp;M$52)*0.01+SUMIFS($O$20:$O$49,$M$20:$M$49,$C58,'CBA Inputs'!$R$20:$R$49,"&lt;="&amp;M$52,$U$20:$U$49,"&gt;="&amp;M$52,$T$20:$T$49,Scenario_Select)*0.01</f>
        <v>12450000</v>
      </c>
      <c r="N58" s="182">
        <f>SUMIFS($E$20:$E$49,$C$20:$C$49,$C58,'CBA Inputs'!$H$20:$H$49,"&lt;="&amp;N$52,$J$20:$J$49,"&gt;="&amp;N$52)*0.01+SUMIFS($O$20:$O$49,$M$20:$M$49,$C58,'CBA Inputs'!$R$20:$R$49,"&lt;="&amp;N$52,$U$20:$U$49,"&gt;="&amp;N$52,$T$20:$T$49,Scenario_Select)*0.01</f>
        <v>12450000</v>
      </c>
      <c r="O58" s="182">
        <f>SUMIFS($E$20:$E$49,$C$20:$C$49,$C58,'CBA Inputs'!$H$20:$H$49,"&lt;="&amp;O$52,$J$20:$J$49,"&gt;="&amp;O$52)*0.01+SUMIFS($O$20:$O$49,$M$20:$M$49,$C58,'CBA Inputs'!$R$20:$R$49,"&lt;="&amp;O$52,$U$20:$U$49,"&gt;="&amp;O$52,$T$20:$T$49,Scenario_Select)*0.01</f>
        <v>12450000</v>
      </c>
      <c r="P58" s="182">
        <f>SUMIFS($E$20:$E$49,$C$20:$C$49,$C58,'CBA Inputs'!$H$20:$H$49,"&lt;="&amp;P$52,$J$20:$J$49,"&gt;="&amp;P$52)*0.01+SUMIFS($O$20:$O$49,$M$20:$M$49,$C58,'CBA Inputs'!$R$20:$R$49,"&lt;="&amp;P$52,$U$20:$U$49,"&gt;="&amp;P$52,$T$20:$T$49,Scenario_Select)*0.01</f>
        <v>12450000</v>
      </c>
      <c r="Q58" s="182">
        <f>SUMIFS($E$20:$E$49,$C$20:$C$49,$C58,'CBA Inputs'!$H$20:$H$49,"&lt;="&amp;Q$52,$J$20:$J$49,"&gt;="&amp;Q$52)*0.01+SUMIFS($O$20:$O$49,$M$20:$M$49,$C58,'CBA Inputs'!$R$20:$R$49,"&lt;="&amp;Q$52,$U$20:$U$49,"&gt;="&amp;Q$52,$T$20:$T$49,Scenario_Select)*0.01</f>
        <v>12450000</v>
      </c>
      <c r="R58" s="182">
        <f>SUMIFS($E$20:$E$49,$C$20:$C$49,$C58,'CBA Inputs'!$H$20:$H$49,"&lt;="&amp;R$52,$J$20:$J$49,"&gt;="&amp;R$52)*0.01+SUMIFS($O$20:$O$49,$M$20:$M$49,$C58,'CBA Inputs'!$R$20:$R$49,"&lt;="&amp;R$52,$U$20:$U$49,"&gt;="&amp;R$52,$T$20:$T$49,Scenario_Select)*0.01</f>
        <v>12450000</v>
      </c>
      <c r="S58" s="182">
        <f>SUMIFS($E$20:$E$49,$C$20:$C$49,$C58,'CBA Inputs'!$H$20:$H$49,"&lt;="&amp;S$52,$J$20:$J$49,"&gt;="&amp;S$52)*0.01+SUMIFS($O$20:$O$49,$M$20:$M$49,$C58,'CBA Inputs'!$R$20:$R$49,"&lt;="&amp;S$52,$U$20:$U$49,"&gt;="&amp;S$52,$T$20:$T$49,Scenario_Select)*0.01</f>
        <v>12450000</v>
      </c>
      <c r="T58" s="182">
        <f>SUMIFS($E$20:$E$49,$C$20:$C$49,$C58,'CBA Inputs'!$H$20:$H$49,"&lt;="&amp;T$52,$J$20:$J$49,"&gt;="&amp;T$52)*0.01+SUMIFS($O$20:$O$49,$M$20:$M$49,$C58,'CBA Inputs'!$R$20:$R$49,"&lt;="&amp;T$52,$U$20:$U$49,"&gt;="&amp;T$52,$T$20:$T$49,Scenario_Select)*0.01</f>
        <v>12450000</v>
      </c>
      <c r="U58" s="182">
        <f>SUMIFS($E$20:$E$49,$C$20:$C$49,$C58,'CBA Inputs'!$H$20:$H$49,"&lt;="&amp;U$52,$J$20:$J$49,"&gt;="&amp;U$52)*0.01+SUMIFS($O$20:$O$49,$M$20:$M$49,$C58,'CBA Inputs'!$R$20:$R$49,"&lt;="&amp;U$52,$U$20:$U$49,"&gt;="&amp;U$52,$T$20:$T$49,Scenario_Select)*0.01</f>
        <v>12450000</v>
      </c>
      <c r="V58" s="182">
        <f>SUMIFS($E$20:$E$49,$C$20:$C$49,$C58,'CBA Inputs'!$H$20:$H$49,"&lt;="&amp;V$52,$J$20:$J$49,"&gt;="&amp;V$52)*0.01+SUMIFS($O$20:$O$49,$M$20:$M$49,$C58,'CBA Inputs'!$R$20:$R$49,"&lt;="&amp;V$52,$U$20:$U$49,"&gt;="&amp;V$52,$T$20:$T$49,Scenario_Select)*0.01</f>
        <v>12450000</v>
      </c>
      <c r="W58" s="182">
        <f>SUMIFS($E$20:$E$49,$C$20:$C$49,$C58,'CBA Inputs'!$H$20:$H$49,"&lt;="&amp;W$52,$J$20:$J$49,"&gt;="&amp;W$52)*0.01+SUMIFS($O$20:$O$49,$M$20:$M$49,$C58,'CBA Inputs'!$R$20:$R$49,"&lt;="&amp;W$52,$U$20:$U$49,"&gt;="&amp;W$52,$T$20:$T$49,Scenario_Select)*0.01</f>
        <v>12450000</v>
      </c>
      <c r="X58" s="182">
        <f>SUMIFS($E$20:$E$49,$C$20:$C$49,$C58,'CBA Inputs'!$H$20:$H$49,"&lt;="&amp;X$52,$J$20:$J$49,"&gt;="&amp;X$52)*0.01+SUMIFS($O$20:$O$49,$M$20:$M$49,$C58,'CBA Inputs'!$R$20:$R$49,"&lt;="&amp;X$52,$U$20:$U$49,"&gt;="&amp;X$52,$T$20:$T$49,Scenario_Select)*0.01</f>
        <v>12450000</v>
      </c>
      <c r="Y58" s="182">
        <f>SUMIFS($E$20:$E$49,$C$20:$C$49,$C58,'CBA Inputs'!$H$20:$H$49,"&lt;="&amp;Y$52,$J$20:$J$49,"&gt;="&amp;Y$52)*0.01+SUMIFS($O$20:$O$49,$M$20:$M$49,$C58,'CBA Inputs'!$R$20:$R$49,"&lt;="&amp;Y$52,$U$20:$U$49,"&gt;="&amp;Y$52,$T$20:$T$49,Scenario_Select)*0.01</f>
        <v>12450000</v>
      </c>
      <c r="Z58" s="182">
        <f>SUMIFS($E$20:$E$49,$C$20:$C$49,$C58,'CBA Inputs'!$H$20:$H$49,"&lt;="&amp;Z$52,$J$20:$J$49,"&gt;="&amp;Z$52)*0.01+SUMIFS($O$20:$O$49,$M$20:$M$49,$C58,'CBA Inputs'!$R$20:$R$49,"&lt;="&amp;Z$52,$U$20:$U$49,"&gt;="&amp;Z$52,$T$20:$T$49,Scenario_Select)*0.01</f>
        <v>12450000</v>
      </c>
      <c r="AA58" s="182">
        <f>SUMIFS($E$20:$E$49,$C$20:$C$49,$C58,'CBA Inputs'!$H$20:$H$49,"&lt;="&amp;AA$52,$J$20:$J$49,"&gt;="&amp;AA$52)*0.01+SUMIFS($O$20:$O$49,$M$20:$M$49,$C58,'CBA Inputs'!$R$20:$R$49,"&lt;="&amp;AA$52,$U$20:$U$49,"&gt;="&amp;AA$52,$T$20:$T$49,Scenario_Select)*0.01</f>
        <v>12450000</v>
      </c>
      <c r="AB58" s="182">
        <f>SUMIFS($E$20:$E$49,$C$20:$C$49,$C58,'CBA Inputs'!$H$20:$H$49,"&lt;="&amp;AB$52,$J$20:$J$49,"&gt;="&amp;AB$52)*0.01+SUMIFS($O$20:$O$49,$M$20:$M$49,$C58,'CBA Inputs'!$R$20:$R$49,"&lt;="&amp;AB$52,$U$20:$U$49,"&gt;="&amp;AB$52,$T$20:$T$49,Scenario_Select)*0.01</f>
        <v>12450000</v>
      </c>
      <c r="AC58" s="182">
        <f>SUMIFS($E$20:$E$49,$C$20:$C$49,$C58,'CBA Inputs'!$H$20:$H$49,"&lt;="&amp;AC$52,$J$20:$J$49,"&gt;="&amp;AC$52)*0.01+SUMIFS($O$20:$O$49,$M$20:$M$49,$C58,'CBA Inputs'!$R$20:$R$49,"&lt;="&amp;AC$52,$U$20:$U$49,"&gt;="&amp;AC$52,$T$20:$T$49,Scenario_Select)*0.01</f>
        <v>12450000</v>
      </c>
      <c r="AD58" s="182">
        <f>SUMIFS($E$20:$E$49,$C$20:$C$49,$C58,'CBA Inputs'!$H$20:$H$49,"&lt;="&amp;AD$52,$J$20:$J$49,"&gt;="&amp;AD$52)*0.01+SUMIFS($O$20:$O$49,$M$20:$M$49,$C58,'CBA Inputs'!$R$20:$R$49,"&lt;="&amp;AD$52,$U$20:$U$49,"&gt;="&amp;AD$52,$T$20:$T$49,Scenario_Select)*0.01</f>
        <v>12450000</v>
      </c>
      <c r="AE58" s="182">
        <f>SUMIFS($E$20:$E$49,$C$20:$C$49,$C58,'CBA Inputs'!$H$20:$H$49,"&lt;="&amp;AE$52,$J$20:$J$49,"&gt;="&amp;AE$52)*0.01+SUMIFS($O$20:$O$49,$M$20:$M$49,$C58,'CBA Inputs'!$R$20:$R$49,"&lt;="&amp;AE$52,$U$20:$U$49,"&gt;="&amp;AE$52,$T$20:$T$49,Scenario_Select)*0.01</f>
        <v>12450000</v>
      </c>
      <c r="AF58" s="182">
        <f>SUMIFS($E$20:$E$49,$C$20:$C$49,$C58,'CBA Inputs'!$H$20:$H$49,"&lt;="&amp;AF$52,$J$20:$J$49,"&gt;="&amp;AF$52)*0.01+SUMIFS($O$20:$O$49,$M$20:$M$49,$C58,'CBA Inputs'!$R$20:$R$49,"&lt;="&amp;AF$52,$U$20:$U$49,"&gt;="&amp;AF$52,$T$20:$T$49,Scenario_Select)*0.01</f>
        <v>12450000</v>
      </c>
      <c r="AG58" s="182">
        <f>SUMIFS($E$20:$E$49,$C$20:$C$49,$C58,'CBA Inputs'!$H$20:$H$49,"&lt;="&amp;AG$52,$J$20:$J$49,"&gt;="&amp;AG$52)*0.01+SUMIFS($O$20:$O$49,$M$20:$M$49,$C58,'CBA Inputs'!$R$20:$R$49,"&lt;="&amp;AG$52,$U$20:$U$49,"&gt;="&amp;AG$52,$T$20:$T$49,Scenario_Select)*0.01</f>
        <v>12450000</v>
      </c>
      <c r="AH58" s="182">
        <f>SUMIFS($E$20:$E$49,$C$20:$C$49,$C58,'CBA Inputs'!$H$20:$H$49,"&lt;="&amp;AH$52,$J$20:$J$49,"&gt;="&amp;AH$52)*0.01+SUMIFS($O$20:$O$49,$M$20:$M$49,$C58,'CBA Inputs'!$R$20:$R$49,"&lt;="&amp;AH$52,$U$20:$U$49,"&gt;="&amp;AH$52,$T$20:$T$49,Scenario_Select)*0.01</f>
        <v>12450000</v>
      </c>
      <c r="AI58" s="182">
        <f>SUMIFS($E$20:$E$49,$C$20:$C$49,$C58,'CBA Inputs'!$H$20:$H$49,"&lt;="&amp;AI$52,$J$20:$J$49,"&gt;="&amp;AI$52)*0.01+SUMIFS($O$20:$O$49,$M$20:$M$49,$C58,'CBA Inputs'!$R$20:$R$49,"&lt;="&amp;AI$52,$U$20:$U$49,"&gt;="&amp;AI$52,$T$20:$T$49,Scenario_Select)*0.01</f>
        <v>12450000</v>
      </c>
      <c r="AJ58" s="102"/>
      <c r="AK58" s="187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</row>
    <row r="59" spans="1:65" x14ac:dyDescent="0.35">
      <c r="A59" s="83"/>
      <c r="B59" s="9">
        <v>5</v>
      </c>
      <c r="C59" s="122" t="str">
        <f>'Option inputs'!$C$19</f>
        <v>Option 2B</v>
      </c>
      <c r="D59" s="62"/>
      <c r="E59" s="68" t="s">
        <v>35</v>
      </c>
      <c r="F59" s="182">
        <f>SUMIFS($E$20:$E$49,$C$20:$C$49,$C59,'CBA Inputs'!$H$20:$H$49,"&lt;="&amp;F$52,$J$20:$J$49,"&gt;="&amp;F$52)*0.01+SUMIFS($O$20:$O$49,$M$20:$M$49,$C59,'CBA Inputs'!$R$20:$R$49,"&lt;="&amp;F$52,$U$20:$U$49,"&gt;="&amp;F$52,$T$20:$T$49,Scenario_Select)*0.01</f>
        <v>0</v>
      </c>
      <c r="G59" s="182">
        <f>SUMIFS($E$20:$E$49,$C$20:$C$49,$C59,'CBA Inputs'!$H$20:$H$49,"&lt;="&amp;G$52,$J$20:$J$49,"&gt;="&amp;G$52)*0.01+SUMIFS($O$20:$O$49,$M$20:$M$49,$C59,'CBA Inputs'!$R$20:$R$49,"&lt;="&amp;G$52,$U$20:$U$49,"&gt;="&amp;G$52,$T$20:$T$49,Scenario_Select)*0.01</f>
        <v>0</v>
      </c>
      <c r="H59" s="182">
        <f>SUMIFS($E$20:$E$49,$C$20:$C$49,$C59,'CBA Inputs'!$H$20:$H$49,"&lt;="&amp;H$52,$J$20:$J$49,"&gt;="&amp;H$52)*0.01+SUMIFS($O$20:$O$49,$M$20:$M$49,$C59,'CBA Inputs'!$R$20:$R$49,"&lt;="&amp;H$52,$U$20:$U$49,"&gt;="&amp;H$52,$T$20:$T$49,Scenario_Select)*0.01</f>
        <v>0</v>
      </c>
      <c r="I59" s="182">
        <f>SUMIFS($E$20:$E$49,$C$20:$C$49,$C59,'CBA Inputs'!$H$20:$H$49,"&lt;="&amp;I$52,$J$20:$J$49,"&gt;="&amp;I$52)*0.01+SUMIFS($O$20:$O$49,$M$20:$M$49,$C59,'CBA Inputs'!$R$20:$R$49,"&lt;="&amp;I$52,$U$20:$U$49,"&gt;="&amp;I$52,$T$20:$T$49,Scenario_Select)*0.01</f>
        <v>0</v>
      </c>
      <c r="J59" s="182">
        <f>SUMIFS($E$20:$E$49,$C$20:$C$49,$C59,'CBA Inputs'!$H$20:$H$49,"&lt;="&amp;J$52,$J$20:$J$49,"&gt;="&amp;J$52)*0.01+SUMIFS($O$20:$O$49,$M$20:$M$49,$C59,'CBA Inputs'!$R$20:$R$49,"&lt;="&amp;J$52,$U$20:$U$49,"&gt;="&amp;J$52,$T$20:$T$49,Scenario_Select)*0.01</f>
        <v>0</v>
      </c>
      <c r="K59" s="182">
        <f>SUMIFS($E$20:$E$49,$C$20:$C$49,$C59,'CBA Inputs'!$H$20:$H$49,"&lt;="&amp;K$52,$J$20:$J$49,"&gt;="&amp;K$52)*0.01+SUMIFS($O$20:$O$49,$M$20:$M$49,$C59,'CBA Inputs'!$R$20:$R$49,"&lt;="&amp;K$52,$U$20:$U$49,"&gt;="&amp;K$52,$T$20:$T$49,Scenario_Select)*0.01</f>
        <v>14230000</v>
      </c>
      <c r="L59" s="182">
        <f>SUMIFS($E$20:$E$49,$C$20:$C$49,$C59,'CBA Inputs'!$H$20:$H$49,"&lt;="&amp;L$52,$J$20:$J$49,"&gt;="&amp;L$52)*0.01+SUMIFS($O$20:$O$49,$M$20:$M$49,$C59,'CBA Inputs'!$R$20:$R$49,"&lt;="&amp;L$52,$U$20:$U$49,"&gt;="&amp;L$52,$T$20:$T$49,Scenario_Select)*0.01</f>
        <v>14230000</v>
      </c>
      <c r="M59" s="182">
        <f>SUMIFS($E$20:$E$49,$C$20:$C$49,$C59,'CBA Inputs'!$H$20:$H$49,"&lt;="&amp;M$52,$J$20:$J$49,"&gt;="&amp;M$52)*0.01+SUMIFS($O$20:$O$49,$M$20:$M$49,$C59,'CBA Inputs'!$R$20:$R$49,"&lt;="&amp;M$52,$U$20:$U$49,"&gt;="&amp;M$52,$T$20:$T$49,Scenario_Select)*0.01</f>
        <v>14230000</v>
      </c>
      <c r="N59" s="182">
        <f>SUMIFS($E$20:$E$49,$C$20:$C$49,$C59,'CBA Inputs'!$H$20:$H$49,"&lt;="&amp;N$52,$J$20:$J$49,"&gt;="&amp;N$52)*0.01+SUMIFS($O$20:$O$49,$M$20:$M$49,$C59,'CBA Inputs'!$R$20:$R$49,"&lt;="&amp;N$52,$U$20:$U$49,"&gt;="&amp;N$52,$T$20:$T$49,Scenario_Select)*0.01</f>
        <v>14230000</v>
      </c>
      <c r="O59" s="182">
        <f>SUMIFS($E$20:$E$49,$C$20:$C$49,$C59,'CBA Inputs'!$H$20:$H$49,"&lt;="&amp;O$52,$J$20:$J$49,"&gt;="&amp;O$52)*0.01+SUMIFS($O$20:$O$49,$M$20:$M$49,$C59,'CBA Inputs'!$R$20:$R$49,"&lt;="&amp;O$52,$U$20:$U$49,"&gt;="&amp;O$52,$T$20:$T$49,Scenario_Select)*0.01</f>
        <v>14230000</v>
      </c>
      <c r="P59" s="182">
        <f>SUMIFS($E$20:$E$49,$C$20:$C$49,$C59,'CBA Inputs'!$H$20:$H$49,"&lt;="&amp;P$52,$J$20:$J$49,"&gt;="&amp;P$52)*0.01+SUMIFS($O$20:$O$49,$M$20:$M$49,$C59,'CBA Inputs'!$R$20:$R$49,"&lt;="&amp;P$52,$U$20:$U$49,"&gt;="&amp;P$52,$T$20:$T$49,Scenario_Select)*0.01</f>
        <v>16310000</v>
      </c>
      <c r="Q59" s="182">
        <f>SUMIFS($E$20:$E$49,$C$20:$C$49,$C59,'CBA Inputs'!$H$20:$H$49,"&lt;="&amp;Q$52,$J$20:$J$49,"&gt;="&amp;Q$52)*0.01+SUMIFS($O$20:$O$49,$M$20:$M$49,$C59,'CBA Inputs'!$R$20:$R$49,"&lt;="&amp;Q$52,$U$20:$U$49,"&gt;="&amp;Q$52,$T$20:$T$49,Scenario_Select)*0.01</f>
        <v>16310000</v>
      </c>
      <c r="R59" s="182">
        <f>SUMIFS($E$20:$E$49,$C$20:$C$49,$C59,'CBA Inputs'!$H$20:$H$49,"&lt;="&amp;R$52,$J$20:$J$49,"&gt;="&amp;R$52)*0.01+SUMIFS($O$20:$O$49,$M$20:$M$49,$C59,'CBA Inputs'!$R$20:$R$49,"&lt;="&amp;R$52,$U$20:$U$49,"&gt;="&amp;R$52,$T$20:$T$49,Scenario_Select)*0.01</f>
        <v>16310000</v>
      </c>
      <c r="S59" s="182">
        <f>SUMIFS($E$20:$E$49,$C$20:$C$49,$C59,'CBA Inputs'!$H$20:$H$49,"&lt;="&amp;S$52,$J$20:$J$49,"&gt;="&amp;S$52)*0.01+SUMIFS($O$20:$O$49,$M$20:$M$49,$C59,'CBA Inputs'!$R$20:$R$49,"&lt;="&amp;S$52,$U$20:$U$49,"&gt;="&amp;S$52,$T$20:$T$49,Scenario_Select)*0.01</f>
        <v>16310000</v>
      </c>
      <c r="T59" s="182">
        <f>SUMIFS($E$20:$E$49,$C$20:$C$49,$C59,'CBA Inputs'!$H$20:$H$49,"&lt;="&amp;T$52,$J$20:$J$49,"&gt;="&amp;T$52)*0.01+SUMIFS($O$20:$O$49,$M$20:$M$49,$C59,'CBA Inputs'!$R$20:$R$49,"&lt;="&amp;T$52,$U$20:$U$49,"&gt;="&amp;T$52,$T$20:$T$49,Scenario_Select)*0.01</f>
        <v>16310000</v>
      </c>
      <c r="U59" s="182">
        <f>SUMIFS($E$20:$E$49,$C$20:$C$49,$C59,'CBA Inputs'!$H$20:$H$49,"&lt;="&amp;U$52,$J$20:$J$49,"&gt;="&amp;U$52)*0.01+SUMIFS($O$20:$O$49,$M$20:$M$49,$C59,'CBA Inputs'!$R$20:$R$49,"&lt;="&amp;U$52,$U$20:$U$49,"&gt;="&amp;U$52,$T$20:$T$49,Scenario_Select)*0.01</f>
        <v>16310000</v>
      </c>
      <c r="V59" s="182">
        <f>SUMIFS($E$20:$E$49,$C$20:$C$49,$C59,'CBA Inputs'!$H$20:$H$49,"&lt;="&amp;V$52,$J$20:$J$49,"&gt;="&amp;V$52)*0.01+SUMIFS($O$20:$O$49,$M$20:$M$49,$C59,'CBA Inputs'!$R$20:$R$49,"&lt;="&amp;V$52,$U$20:$U$49,"&gt;="&amp;V$52,$T$20:$T$49,Scenario_Select)*0.01</f>
        <v>16310000</v>
      </c>
      <c r="W59" s="182">
        <f>SUMIFS($E$20:$E$49,$C$20:$C$49,$C59,'CBA Inputs'!$H$20:$H$49,"&lt;="&amp;W$52,$J$20:$J$49,"&gt;="&amp;W$52)*0.01+SUMIFS($O$20:$O$49,$M$20:$M$49,$C59,'CBA Inputs'!$R$20:$R$49,"&lt;="&amp;W$52,$U$20:$U$49,"&gt;="&amp;W$52,$T$20:$T$49,Scenario_Select)*0.01</f>
        <v>16310000</v>
      </c>
      <c r="X59" s="182">
        <f>SUMIFS($E$20:$E$49,$C$20:$C$49,$C59,'CBA Inputs'!$H$20:$H$49,"&lt;="&amp;X$52,$J$20:$J$49,"&gt;="&amp;X$52)*0.01+SUMIFS($O$20:$O$49,$M$20:$M$49,$C59,'CBA Inputs'!$R$20:$R$49,"&lt;="&amp;X$52,$U$20:$U$49,"&gt;="&amp;X$52,$T$20:$T$49,Scenario_Select)*0.01</f>
        <v>16310000</v>
      </c>
      <c r="Y59" s="182">
        <f>SUMIFS($E$20:$E$49,$C$20:$C$49,$C59,'CBA Inputs'!$H$20:$H$49,"&lt;="&amp;Y$52,$J$20:$J$49,"&gt;="&amp;Y$52)*0.01+SUMIFS($O$20:$O$49,$M$20:$M$49,$C59,'CBA Inputs'!$R$20:$R$49,"&lt;="&amp;Y$52,$U$20:$U$49,"&gt;="&amp;Y$52,$T$20:$T$49,Scenario_Select)*0.01</f>
        <v>16310000</v>
      </c>
      <c r="Z59" s="182">
        <f>SUMIFS($E$20:$E$49,$C$20:$C$49,$C59,'CBA Inputs'!$H$20:$H$49,"&lt;="&amp;Z$52,$J$20:$J$49,"&gt;="&amp;Z$52)*0.01+SUMIFS($O$20:$O$49,$M$20:$M$49,$C59,'CBA Inputs'!$R$20:$R$49,"&lt;="&amp;Z$52,$U$20:$U$49,"&gt;="&amp;Z$52,$T$20:$T$49,Scenario_Select)*0.01</f>
        <v>16310000</v>
      </c>
      <c r="AA59" s="182">
        <f>SUMIFS($E$20:$E$49,$C$20:$C$49,$C59,'CBA Inputs'!$H$20:$H$49,"&lt;="&amp;AA$52,$J$20:$J$49,"&gt;="&amp;AA$52)*0.01+SUMIFS($O$20:$O$49,$M$20:$M$49,$C59,'CBA Inputs'!$R$20:$R$49,"&lt;="&amp;AA$52,$U$20:$U$49,"&gt;="&amp;AA$52,$T$20:$T$49,Scenario_Select)*0.01</f>
        <v>16310000</v>
      </c>
      <c r="AB59" s="182">
        <f>SUMIFS($E$20:$E$49,$C$20:$C$49,$C59,'CBA Inputs'!$H$20:$H$49,"&lt;="&amp;AB$52,$J$20:$J$49,"&gt;="&amp;AB$52)*0.01+SUMIFS($O$20:$O$49,$M$20:$M$49,$C59,'CBA Inputs'!$R$20:$R$49,"&lt;="&amp;AB$52,$U$20:$U$49,"&gt;="&amp;AB$52,$T$20:$T$49,Scenario_Select)*0.01</f>
        <v>16310000</v>
      </c>
      <c r="AC59" s="182">
        <f>SUMIFS($E$20:$E$49,$C$20:$C$49,$C59,'CBA Inputs'!$H$20:$H$49,"&lt;="&amp;AC$52,$J$20:$J$49,"&gt;="&amp;AC$52)*0.01+SUMIFS($O$20:$O$49,$M$20:$M$49,$C59,'CBA Inputs'!$R$20:$R$49,"&lt;="&amp;AC$52,$U$20:$U$49,"&gt;="&amp;AC$52,$T$20:$T$49,Scenario_Select)*0.01</f>
        <v>16310000</v>
      </c>
      <c r="AD59" s="182">
        <f>SUMIFS($E$20:$E$49,$C$20:$C$49,$C59,'CBA Inputs'!$H$20:$H$49,"&lt;="&amp;AD$52,$J$20:$J$49,"&gt;="&amp;AD$52)*0.01+SUMIFS($O$20:$O$49,$M$20:$M$49,$C59,'CBA Inputs'!$R$20:$R$49,"&lt;="&amp;AD$52,$U$20:$U$49,"&gt;="&amp;AD$52,$T$20:$T$49,Scenario_Select)*0.01</f>
        <v>16310000</v>
      </c>
      <c r="AE59" s="182">
        <f>SUMIFS($E$20:$E$49,$C$20:$C$49,$C59,'CBA Inputs'!$H$20:$H$49,"&lt;="&amp;AE$52,$J$20:$J$49,"&gt;="&amp;AE$52)*0.01+SUMIFS($O$20:$O$49,$M$20:$M$49,$C59,'CBA Inputs'!$R$20:$R$49,"&lt;="&amp;AE$52,$U$20:$U$49,"&gt;="&amp;AE$52,$T$20:$T$49,Scenario_Select)*0.01</f>
        <v>16310000</v>
      </c>
      <c r="AF59" s="182">
        <f>SUMIFS($E$20:$E$49,$C$20:$C$49,$C59,'CBA Inputs'!$H$20:$H$49,"&lt;="&amp;AF$52,$J$20:$J$49,"&gt;="&amp;AF$52)*0.01+SUMIFS($O$20:$O$49,$M$20:$M$49,$C59,'CBA Inputs'!$R$20:$R$49,"&lt;="&amp;AF$52,$U$20:$U$49,"&gt;="&amp;AF$52,$T$20:$T$49,Scenario_Select)*0.01</f>
        <v>16310000</v>
      </c>
      <c r="AG59" s="182">
        <f>SUMIFS($E$20:$E$49,$C$20:$C$49,$C59,'CBA Inputs'!$H$20:$H$49,"&lt;="&amp;AG$52,$J$20:$J$49,"&gt;="&amp;AG$52)*0.01+SUMIFS($O$20:$O$49,$M$20:$M$49,$C59,'CBA Inputs'!$R$20:$R$49,"&lt;="&amp;AG$52,$U$20:$U$49,"&gt;="&amp;AG$52,$T$20:$T$49,Scenario_Select)*0.01</f>
        <v>16310000</v>
      </c>
      <c r="AH59" s="182">
        <f>SUMIFS($E$20:$E$49,$C$20:$C$49,$C59,'CBA Inputs'!$H$20:$H$49,"&lt;="&amp;AH$52,$J$20:$J$49,"&gt;="&amp;AH$52)*0.01+SUMIFS($O$20:$O$49,$M$20:$M$49,$C59,'CBA Inputs'!$R$20:$R$49,"&lt;="&amp;AH$52,$U$20:$U$49,"&gt;="&amp;AH$52,$T$20:$T$49,Scenario_Select)*0.01</f>
        <v>16310000</v>
      </c>
      <c r="AI59" s="182">
        <f>SUMIFS($E$20:$E$49,$C$20:$C$49,$C59,'CBA Inputs'!$H$20:$H$49,"&lt;="&amp;AI$52,$J$20:$J$49,"&gt;="&amp;AI$52)*0.01+SUMIFS($O$20:$O$49,$M$20:$M$49,$C59,'CBA Inputs'!$R$20:$R$49,"&lt;="&amp;AI$52,$U$20:$U$49,"&gt;="&amp;AI$52,$T$20:$T$49,Scenario_Select)*0.01</f>
        <v>16310000</v>
      </c>
      <c r="AJ59" s="102"/>
      <c r="AK59" s="187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</row>
    <row r="60" spans="1:65" x14ac:dyDescent="0.35">
      <c r="A60" s="83"/>
      <c r="B60" s="9">
        <v>6</v>
      </c>
      <c r="C60" s="122" t="str">
        <f>'Option inputs'!$C$20</f>
        <v>Option 2C</v>
      </c>
      <c r="D60" s="62"/>
      <c r="E60" s="68" t="s">
        <v>35</v>
      </c>
      <c r="F60" s="182">
        <f>SUMIFS($E$20:$E$49,$C$20:$C$49,$C60,'CBA Inputs'!$H$20:$H$49,"&lt;="&amp;F$52,$J$20:$J$49,"&gt;="&amp;F$52)*0.01+SUMIFS($O$20:$O$49,$M$20:$M$49,$C60,'CBA Inputs'!$R$20:$R$49,"&lt;="&amp;F$52,$U$20:$U$49,"&gt;="&amp;F$52,$T$20:$T$49,Scenario_Select)*0.01</f>
        <v>0</v>
      </c>
      <c r="G60" s="182">
        <f>SUMIFS($E$20:$E$49,$C$20:$C$49,$C60,'CBA Inputs'!$H$20:$H$49,"&lt;="&amp;G$52,$J$20:$J$49,"&gt;="&amp;G$52)*0.01+SUMIFS($O$20:$O$49,$M$20:$M$49,$C60,'CBA Inputs'!$R$20:$R$49,"&lt;="&amp;G$52,$U$20:$U$49,"&gt;="&amp;G$52,$T$20:$T$49,Scenario_Select)*0.01</f>
        <v>0</v>
      </c>
      <c r="H60" s="182">
        <f>SUMIFS($E$20:$E$49,$C$20:$C$49,$C60,'CBA Inputs'!$H$20:$H$49,"&lt;="&amp;H$52,$J$20:$J$49,"&gt;="&amp;H$52)*0.01+SUMIFS($O$20:$O$49,$M$20:$M$49,$C60,'CBA Inputs'!$R$20:$R$49,"&lt;="&amp;H$52,$U$20:$U$49,"&gt;="&amp;H$52,$T$20:$T$49,Scenario_Select)*0.01</f>
        <v>0</v>
      </c>
      <c r="I60" s="182">
        <f>SUMIFS($E$20:$E$49,$C$20:$C$49,$C60,'CBA Inputs'!$H$20:$H$49,"&lt;="&amp;I$52,$J$20:$J$49,"&gt;="&amp;I$52)*0.01+SUMIFS($O$20:$O$49,$M$20:$M$49,$C60,'CBA Inputs'!$R$20:$R$49,"&lt;="&amp;I$52,$U$20:$U$49,"&gt;="&amp;I$52,$T$20:$T$49,Scenario_Select)*0.01</f>
        <v>0</v>
      </c>
      <c r="J60" s="182">
        <f>SUMIFS($E$20:$E$49,$C$20:$C$49,$C60,'CBA Inputs'!$H$20:$H$49,"&lt;="&amp;J$52,$J$20:$J$49,"&gt;="&amp;J$52)*0.01+SUMIFS($O$20:$O$49,$M$20:$M$49,$C60,'CBA Inputs'!$R$20:$R$49,"&lt;="&amp;J$52,$U$20:$U$49,"&gt;="&amp;J$52,$T$20:$T$49,Scenario_Select)*0.01</f>
        <v>0</v>
      </c>
      <c r="K60" s="182">
        <f>SUMIFS($E$20:$E$49,$C$20:$C$49,$C60,'CBA Inputs'!$H$20:$H$49,"&lt;="&amp;K$52,$J$20:$J$49,"&gt;="&amp;K$52)*0.01+SUMIFS($O$20:$O$49,$M$20:$M$49,$C60,'CBA Inputs'!$R$20:$R$49,"&lt;="&amp;K$52,$U$20:$U$49,"&gt;="&amp;K$52,$T$20:$T$49,Scenario_Select)*0.01</f>
        <v>13870000</v>
      </c>
      <c r="L60" s="182">
        <f>SUMIFS($E$20:$E$49,$C$20:$C$49,$C60,'CBA Inputs'!$H$20:$H$49,"&lt;="&amp;L$52,$J$20:$J$49,"&gt;="&amp;L$52)*0.01+SUMIFS($O$20:$O$49,$M$20:$M$49,$C60,'CBA Inputs'!$R$20:$R$49,"&lt;="&amp;L$52,$U$20:$U$49,"&gt;="&amp;L$52,$T$20:$T$49,Scenario_Select)*0.01</f>
        <v>13870000</v>
      </c>
      <c r="M60" s="182">
        <f>SUMIFS($E$20:$E$49,$C$20:$C$49,$C60,'CBA Inputs'!$H$20:$H$49,"&lt;="&amp;M$52,$J$20:$J$49,"&gt;="&amp;M$52)*0.01+SUMIFS($O$20:$O$49,$M$20:$M$49,$C60,'CBA Inputs'!$R$20:$R$49,"&lt;="&amp;M$52,$U$20:$U$49,"&gt;="&amp;M$52,$T$20:$T$49,Scenario_Select)*0.01</f>
        <v>13870000</v>
      </c>
      <c r="N60" s="182">
        <f>SUMIFS($E$20:$E$49,$C$20:$C$49,$C60,'CBA Inputs'!$H$20:$H$49,"&lt;="&amp;N$52,$J$20:$J$49,"&gt;="&amp;N$52)*0.01+SUMIFS($O$20:$O$49,$M$20:$M$49,$C60,'CBA Inputs'!$R$20:$R$49,"&lt;="&amp;N$52,$U$20:$U$49,"&gt;="&amp;N$52,$T$20:$T$49,Scenario_Select)*0.01</f>
        <v>13870000</v>
      </c>
      <c r="O60" s="182">
        <f>SUMIFS($E$20:$E$49,$C$20:$C$49,$C60,'CBA Inputs'!$H$20:$H$49,"&lt;="&amp;O$52,$J$20:$J$49,"&gt;="&amp;O$52)*0.01+SUMIFS($O$20:$O$49,$M$20:$M$49,$C60,'CBA Inputs'!$R$20:$R$49,"&lt;="&amp;O$52,$U$20:$U$49,"&gt;="&amp;O$52,$T$20:$T$49,Scenario_Select)*0.01</f>
        <v>13870000</v>
      </c>
      <c r="P60" s="182">
        <f>SUMIFS($E$20:$E$49,$C$20:$C$49,$C60,'CBA Inputs'!$H$20:$H$49,"&lt;="&amp;P$52,$J$20:$J$49,"&gt;="&amp;P$52)*0.01+SUMIFS($O$20:$O$49,$M$20:$M$49,$C60,'CBA Inputs'!$R$20:$R$49,"&lt;="&amp;P$52,$U$20:$U$49,"&gt;="&amp;P$52,$T$20:$T$49,Scenario_Select)*0.01</f>
        <v>13870000</v>
      </c>
      <c r="Q60" s="182">
        <f>SUMIFS($E$20:$E$49,$C$20:$C$49,$C60,'CBA Inputs'!$H$20:$H$49,"&lt;="&amp;Q$52,$J$20:$J$49,"&gt;="&amp;Q$52)*0.01+SUMIFS($O$20:$O$49,$M$20:$M$49,$C60,'CBA Inputs'!$R$20:$R$49,"&lt;="&amp;Q$52,$U$20:$U$49,"&gt;="&amp;Q$52,$T$20:$T$49,Scenario_Select)*0.01</f>
        <v>13870000</v>
      </c>
      <c r="R60" s="182">
        <f>SUMIFS($E$20:$E$49,$C$20:$C$49,$C60,'CBA Inputs'!$H$20:$H$49,"&lt;="&amp;R$52,$J$20:$J$49,"&gt;="&amp;R$52)*0.01+SUMIFS($O$20:$O$49,$M$20:$M$49,$C60,'CBA Inputs'!$R$20:$R$49,"&lt;="&amp;R$52,$U$20:$U$49,"&gt;="&amp;R$52,$T$20:$T$49,Scenario_Select)*0.01</f>
        <v>13870000</v>
      </c>
      <c r="S60" s="182">
        <f>SUMIFS($E$20:$E$49,$C$20:$C$49,$C60,'CBA Inputs'!$H$20:$H$49,"&lt;="&amp;S$52,$J$20:$J$49,"&gt;="&amp;S$52)*0.01+SUMIFS($O$20:$O$49,$M$20:$M$49,$C60,'CBA Inputs'!$R$20:$R$49,"&lt;="&amp;S$52,$U$20:$U$49,"&gt;="&amp;S$52,$T$20:$T$49,Scenario_Select)*0.01</f>
        <v>13870000</v>
      </c>
      <c r="T60" s="182">
        <f>SUMIFS($E$20:$E$49,$C$20:$C$49,$C60,'CBA Inputs'!$H$20:$H$49,"&lt;="&amp;T$52,$J$20:$J$49,"&gt;="&amp;T$52)*0.01+SUMIFS($O$20:$O$49,$M$20:$M$49,$C60,'CBA Inputs'!$R$20:$R$49,"&lt;="&amp;T$52,$U$20:$U$49,"&gt;="&amp;T$52,$T$20:$T$49,Scenario_Select)*0.01</f>
        <v>13870000</v>
      </c>
      <c r="U60" s="182">
        <f>SUMIFS($E$20:$E$49,$C$20:$C$49,$C60,'CBA Inputs'!$H$20:$H$49,"&lt;="&amp;U$52,$J$20:$J$49,"&gt;="&amp;U$52)*0.01+SUMIFS($O$20:$O$49,$M$20:$M$49,$C60,'CBA Inputs'!$R$20:$R$49,"&lt;="&amp;U$52,$U$20:$U$49,"&gt;="&amp;U$52,$T$20:$T$49,Scenario_Select)*0.01</f>
        <v>13870000</v>
      </c>
      <c r="V60" s="182">
        <f>SUMIFS($E$20:$E$49,$C$20:$C$49,$C60,'CBA Inputs'!$H$20:$H$49,"&lt;="&amp;V$52,$J$20:$J$49,"&gt;="&amp;V$52)*0.01+SUMIFS($O$20:$O$49,$M$20:$M$49,$C60,'CBA Inputs'!$R$20:$R$49,"&lt;="&amp;V$52,$U$20:$U$49,"&gt;="&amp;V$52,$T$20:$T$49,Scenario_Select)*0.01</f>
        <v>13870000</v>
      </c>
      <c r="W60" s="182">
        <f>SUMIFS($E$20:$E$49,$C$20:$C$49,$C60,'CBA Inputs'!$H$20:$H$49,"&lt;="&amp;W$52,$J$20:$J$49,"&gt;="&amp;W$52)*0.01+SUMIFS($O$20:$O$49,$M$20:$M$49,$C60,'CBA Inputs'!$R$20:$R$49,"&lt;="&amp;W$52,$U$20:$U$49,"&gt;="&amp;W$52,$T$20:$T$49,Scenario_Select)*0.01</f>
        <v>13870000</v>
      </c>
      <c r="X60" s="182">
        <f>SUMIFS($E$20:$E$49,$C$20:$C$49,$C60,'CBA Inputs'!$H$20:$H$49,"&lt;="&amp;X$52,$J$20:$J$49,"&gt;="&amp;X$52)*0.01+SUMIFS($O$20:$O$49,$M$20:$M$49,$C60,'CBA Inputs'!$R$20:$R$49,"&lt;="&amp;X$52,$U$20:$U$49,"&gt;="&amp;X$52,$T$20:$T$49,Scenario_Select)*0.01</f>
        <v>13870000</v>
      </c>
      <c r="Y60" s="182">
        <f>SUMIFS($E$20:$E$49,$C$20:$C$49,$C60,'CBA Inputs'!$H$20:$H$49,"&lt;="&amp;Y$52,$J$20:$J$49,"&gt;="&amp;Y$52)*0.01+SUMIFS($O$20:$O$49,$M$20:$M$49,$C60,'CBA Inputs'!$R$20:$R$49,"&lt;="&amp;Y$52,$U$20:$U$49,"&gt;="&amp;Y$52,$T$20:$T$49,Scenario_Select)*0.01</f>
        <v>13870000</v>
      </c>
      <c r="Z60" s="182">
        <f>SUMIFS($E$20:$E$49,$C$20:$C$49,$C60,'CBA Inputs'!$H$20:$H$49,"&lt;="&amp;Z$52,$J$20:$J$49,"&gt;="&amp;Z$52)*0.01+SUMIFS($O$20:$O$49,$M$20:$M$49,$C60,'CBA Inputs'!$R$20:$R$49,"&lt;="&amp;Z$52,$U$20:$U$49,"&gt;="&amp;Z$52,$T$20:$T$49,Scenario_Select)*0.01</f>
        <v>13870000</v>
      </c>
      <c r="AA60" s="182">
        <f>SUMIFS($E$20:$E$49,$C$20:$C$49,$C60,'CBA Inputs'!$H$20:$H$49,"&lt;="&amp;AA$52,$J$20:$J$49,"&gt;="&amp;AA$52)*0.01+SUMIFS($O$20:$O$49,$M$20:$M$49,$C60,'CBA Inputs'!$R$20:$R$49,"&lt;="&amp;AA$52,$U$20:$U$49,"&gt;="&amp;AA$52,$T$20:$T$49,Scenario_Select)*0.01</f>
        <v>13870000</v>
      </c>
      <c r="AB60" s="182">
        <f>SUMIFS($E$20:$E$49,$C$20:$C$49,$C60,'CBA Inputs'!$H$20:$H$49,"&lt;="&amp;AB$52,$J$20:$J$49,"&gt;="&amp;AB$52)*0.01+SUMIFS($O$20:$O$49,$M$20:$M$49,$C60,'CBA Inputs'!$R$20:$R$49,"&lt;="&amp;AB$52,$U$20:$U$49,"&gt;="&amp;AB$52,$T$20:$T$49,Scenario_Select)*0.01</f>
        <v>13870000</v>
      </c>
      <c r="AC60" s="182">
        <f>SUMIFS($E$20:$E$49,$C$20:$C$49,$C60,'CBA Inputs'!$H$20:$H$49,"&lt;="&amp;AC$52,$J$20:$J$49,"&gt;="&amp;AC$52)*0.01+SUMIFS($O$20:$O$49,$M$20:$M$49,$C60,'CBA Inputs'!$R$20:$R$49,"&lt;="&amp;AC$52,$U$20:$U$49,"&gt;="&amp;AC$52,$T$20:$T$49,Scenario_Select)*0.01</f>
        <v>13870000</v>
      </c>
      <c r="AD60" s="182">
        <f>SUMIFS($E$20:$E$49,$C$20:$C$49,$C60,'CBA Inputs'!$H$20:$H$49,"&lt;="&amp;AD$52,$J$20:$J$49,"&gt;="&amp;AD$52)*0.01+SUMIFS($O$20:$O$49,$M$20:$M$49,$C60,'CBA Inputs'!$R$20:$R$49,"&lt;="&amp;AD$52,$U$20:$U$49,"&gt;="&amp;AD$52,$T$20:$T$49,Scenario_Select)*0.01</f>
        <v>13870000</v>
      </c>
      <c r="AE60" s="182">
        <f>SUMIFS($E$20:$E$49,$C$20:$C$49,$C60,'CBA Inputs'!$H$20:$H$49,"&lt;="&amp;AE$52,$J$20:$J$49,"&gt;="&amp;AE$52)*0.01+SUMIFS($O$20:$O$49,$M$20:$M$49,$C60,'CBA Inputs'!$R$20:$R$49,"&lt;="&amp;AE$52,$U$20:$U$49,"&gt;="&amp;AE$52,$T$20:$T$49,Scenario_Select)*0.01</f>
        <v>13870000</v>
      </c>
      <c r="AF60" s="182">
        <f>SUMIFS($E$20:$E$49,$C$20:$C$49,$C60,'CBA Inputs'!$H$20:$H$49,"&lt;="&amp;AF$52,$J$20:$J$49,"&gt;="&amp;AF$52)*0.01+SUMIFS($O$20:$O$49,$M$20:$M$49,$C60,'CBA Inputs'!$R$20:$R$49,"&lt;="&amp;AF$52,$U$20:$U$49,"&gt;="&amp;AF$52,$T$20:$T$49,Scenario_Select)*0.01</f>
        <v>13870000</v>
      </c>
      <c r="AG60" s="182">
        <f>SUMIFS($E$20:$E$49,$C$20:$C$49,$C60,'CBA Inputs'!$H$20:$H$49,"&lt;="&amp;AG$52,$J$20:$J$49,"&gt;="&amp;AG$52)*0.01+SUMIFS($O$20:$O$49,$M$20:$M$49,$C60,'CBA Inputs'!$R$20:$R$49,"&lt;="&amp;AG$52,$U$20:$U$49,"&gt;="&amp;AG$52,$T$20:$T$49,Scenario_Select)*0.01</f>
        <v>13870000</v>
      </c>
      <c r="AH60" s="182">
        <f>SUMIFS($E$20:$E$49,$C$20:$C$49,$C60,'CBA Inputs'!$H$20:$H$49,"&lt;="&amp;AH$52,$J$20:$J$49,"&gt;="&amp;AH$52)*0.01+SUMIFS($O$20:$O$49,$M$20:$M$49,$C60,'CBA Inputs'!$R$20:$R$49,"&lt;="&amp;AH$52,$U$20:$U$49,"&gt;="&amp;AH$52,$T$20:$T$49,Scenario_Select)*0.01</f>
        <v>13870000</v>
      </c>
      <c r="AI60" s="182">
        <f>SUMIFS($E$20:$E$49,$C$20:$C$49,$C60,'CBA Inputs'!$H$20:$H$49,"&lt;="&amp;AI$52,$J$20:$J$49,"&gt;="&amp;AI$52)*0.01+SUMIFS($O$20:$O$49,$M$20:$M$49,$C60,'CBA Inputs'!$R$20:$R$49,"&lt;="&amp;AI$52,$U$20:$U$49,"&gt;="&amp;AI$52,$T$20:$T$49,Scenario_Select)*0.01</f>
        <v>13870000</v>
      </c>
      <c r="AJ60" s="102"/>
      <c r="AK60" s="187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</row>
    <row r="61" spans="1:65" x14ac:dyDescent="0.35">
      <c r="A61" s="83"/>
      <c r="B61" s="9">
        <v>7</v>
      </c>
      <c r="C61" s="122" t="str">
        <f>'Option inputs'!$C$21</f>
        <v>Option 3A</v>
      </c>
      <c r="D61" s="62"/>
      <c r="E61" s="68" t="s">
        <v>35</v>
      </c>
      <c r="F61" s="182">
        <f>SUMIFS($E$20:$E$49,$C$20:$C$49,$C61,'CBA Inputs'!$H$20:$H$49,"&lt;="&amp;F$52,$J$20:$J$49,"&gt;="&amp;F$52)*0.01+SUMIFS($O$20:$O$49,$M$20:$M$49,$C61,'CBA Inputs'!$R$20:$R$49,"&lt;="&amp;F$52,$U$20:$U$49,"&gt;="&amp;F$52,$T$20:$T$49,Scenario_Select)*0.01</f>
        <v>0</v>
      </c>
      <c r="G61" s="182">
        <f>SUMIFS($E$20:$E$49,$C$20:$C$49,$C61,'CBA Inputs'!$H$20:$H$49,"&lt;="&amp;G$52,$J$20:$J$49,"&gt;="&amp;G$52)*0.01+SUMIFS($O$20:$O$49,$M$20:$M$49,$C61,'CBA Inputs'!$R$20:$R$49,"&lt;="&amp;G$52,$U$20:$U$49,"&gt;="&amp;G$52,$T$20:$T$49,Scenario_Select)*0.01</f>
        <v>0</v>
      </c>
      <c r="H61" s="182">
        <f>SUMIFS($E$20:$E$49,$C$20:$C$49,$C61,'CBA Inputs'!$H$20:$H$49,"&lt;="&amp;H$52,$J$20:$J$49,"&gt;="&amp;H$52)*0.01+SUMIFS($O$20:$O$49,$M$20:$M$49,$C61,'CBA Inputs'!$R$20:$R$49,"&lt;="&amp;H$52,$U$20:$U$49,"&gt;="&amp;H$52,$T$20:$T$49,Scenario_Select)*0.01</f>
        <v>0</v>
      </c>
      <c r="I61" s="182">
        <f>SUMIFS($E$20:$E$49,$C$20:$C$49,$C61,'CBA Inputs'!$H$20:$H$49,"&lt;="&amp;I$52,$J$20:$J$49,"&gt;="&amp;I$52)*0.01+SUMIFS($O$20:$O$49,$M$20:$M$49,$C61,'CBA Inputs'!$R$20:$R$49,"&lt;="&amp;I$52,$U$20:$U$49,"&gt;="&amp;I$52,$T$20:$T$49,Scenario_Select)*0.01</f>
        <v>0</v>
      </c>
      <c r="J61" s="182">
        <f>SUMIFS($E$20:$E$49,$C$20:$C$49,$C61,'CBA Inputs'!$H$20:$H$49,"&lt;="&amp;J$52,$J$20:$J$49,"&gt;="&amp;J$52)*0.01+SUMIFS($O$20:$O$49,$M$20:$M$49,$C61,'CBA Inputs'!$R$20:$R$49,"&lt;="&amp;J$52,$U$20:$U$49,"&gt;="&amp;J$52,$T$20:$T$49,Scenario_Select)*0.01</f>
        <v>0</v>
      </c>
      <c r="K61" s="182">
        <f>SUMIFS($E$20:$E$49,$C$20:$C$49,$C61,'CBA Inputs'!$H$20:$H$49,"&lt;="&amp;K$52,$J$20:$J$49,"&gt;="&amp;K$52)*0.01+SUMIFS($O$20:$O$49,$M$20:$M$49,$C61,'CBA Inputs'!$R$20:$R$49,"&lt;="&amp;K$52,$U$20:$U$49,"&gt;="&amp;K$52,$T$20:$T$49,Scenario_Select)*0.01</f>
        <v>10140000</v>
      </c>
      <c r="L61" s="182">
        <f>SUMIFS($E$20:$E$49,$C$20:$C$49,$C61,'CBA Inputs'!$H$20:$H$49,"&lt;="&amp;L$52,$J$20:$J$49,"&gt;="&amp;L$52)*0.01+SUMIFS($O$20:$O$49,$M$20:$M$49,$C61,'CBA Inputs'!$R$20:$R$49,"&lt;="&amp;L$52,$U$20:$U$49,"&gt;="&amp;L$52,$T$20:$T$49,Scenario_Select)*0.01</f>
        <v>10140000</v>
      </c>
      <c r="M61" s="182">
        <f>SUMIFS($E$20:$E$49,$C$20:$C$49,$C61,'CBA Inputs'!$H$20:$H$49,"&lt;="&amp;M$52,$J$20:$J$49,"&gt;="&amp;M$52)*0.01+SUMIFS($O$20:$O$49,$M$20:$M$49,$C61,'CBA Inputs'!$R$20:$R$49,"&lt;="&amp;M$52,$U$20:$U$49,"&gt;="&amp;M$52,$T$20:$T$49,Scenario_Select)*0.01</f>
        <v>10140000</v>
      </c>
      <c r="N61" s="182">
        <f>SUMIFS($E$20:$E$49,$C$20:$C$49,$C61,'CBA Inputs'!$H$20:$H$49,"&lt;="&amp;N$52,$J$20:$J$49,"&gt;="&amp;N$52)*0.01+SUMIFS($O$20:$O$49,$M$20:$M$49,$C61,'CBA Inputs'!$R$20:$R$49,"&lt;="&amp;N$52,$U$20:$U$49,"&gt;="&amp;N$52,$T$20:$T$49,Scenario_Select)*0.01</f>
        <v>10140000</v>
      </c>
      <c r="O61" s="182">
        <f>SUMIFS($E$20:$E$49,$C$20:$C$49,$C61,'CBA Inputs'!$H$20:$H$49,"&lt;="&amp;O$52,$J$20:$J$49,"&gt;="&amp;O$52)*0.01+SUMIFS($O$20:$O$49,$M$20:$M$49,$C61,'CBA Inputs'!$R$20:$R$49,"&lt;="&amp;O$52,$U$20:$U$49,"&gt;="&amp;O$52,$T$20:$T$49,Scenario_Select)*0.01</f>
        <v>10140000</v>
      </c>
      <c r="P61" s="182">
        <f>SUMIFS($E$20:$E$49,$C$20:$C$49,$C61,'CBA Inputs'!$H$20:$H$49,"&lt;="&amp;P$52,$J$20:$J$49,"&gt;="&amp;P$52)*0.01+SUMIFS($O$20:$O$49,$M$20:$M$49,$C61,'CBA Inputs'!$R$20:$R$49,"&lt;="&amp;P$52,$U$20:$U$49,"&gt;="&amp;P$52,$T$20:$T$49,Scenario_Select)*0.01</f>
        <v>10140000</v>
      </c>
      <c r="Q61" s="182">
        <f>SUMIFS($E$20:$E$49,$C$20:$C$49,$C61,'CBA Inputs'!$H$20:$H$49,"&lt;="&amp;Q$52,$J$20:$J$49,"&gt;="&amp;Q$52)*0.01+SUMIFS($O$20:$O$49,$M$20:$M$49,$C61,'CBA Inputs'!$R$20:$R$49,"&lt;="&amp;Q$52,$U$20:$U$49,"&gt;="&amp;Q$52,$T$20:$T$49,Scenario_Select)*0.01</f>
        <v>10140000</v>
      </c>
      <c r="R61" s="182">
        <f>SUMIFS($E$20:$E$49,$C$20:$C$49,$C61,'CBA Inputs'!$H$20:$H$49,"&lt;="&amp;R$52,$J$20:$J$49,"&gt;="&amp;R$52)*0.01+SUMIFS($O$20:$O$49,$M$20:$M$49,$C61,'CBA Inputs'!$R$20:$R$49,"&lt;="&amp;R$52,$U$20:$U$49,"&gt;="&amp;R$52,$T$20:$T$49,Scenario_Select)*0.01</f>
        <v>10140000</v>
      </c>
      <c r="S61" s="182">
        <f>SUMIFS($E$20:$E$49,$C$20:$C$49,$C61,'CBA Inputs'!$H$20:$H$49,"&lt;="&amp;S$52,$J$20:$J$49,"&gt;="&amp;S$52)*0.01+SUMIFS($O$20:$O$49,$M$20:$M$49,$C61,'CBA Inputs'!$R$20:$R$49,"&lt;="&amp;S$52,$U$20:$U$49,"&gt;="&amp;S$52,$T$20:$T$49,Scenario_Select)*0.01</f>
        <v>10140000</v>
      </c>
      <c r="T61" s="182">
        <f>SUMIFS($E$20:$E$49,$C$20:$C$49,$C61,'CBA Inputs'!$H$20:$H$49,"&lt;="&amp;T$52,$J$20:$J$49,"&gt;="&amp;T$52)*0.01+SUMIFS($O$20:$O$49,$M$20:$M$49,$C61,'CBA Inputs'!$R$20:$R$49,"&lt;="&amp;T$52,$U$20:$U$49,"&gt;="&amp;T$52,$T$20:$T$49,Scenario_Select)*0.01</f>
        <v>10140000</v>
      </c>
      <c r="U61" s="182">
        <f>SUMIFS($E$20:$E$49,$C$20:$C$49,$C61,'CBA Inputs'!$H$20:$H$49,"&lt;="&amp;U$52,$J$20:$J$49,"&gt;="&amp;U$52)*0.01+SUMIFS($O$20:$O$49,$M$20:$M$49,$C61,'CBA Inputs'!$R$20:$R$49,"&lt;="&amp;U$52,$U$20:$U$49,"&gt;="&amp;U$52,$T$20:$T$49,Scenario_Select)*0.01</f>
        <v>10140000</v>
      </c>
      <c r="V61" s="182">
        <f>SUMIFS($E$20:$E$49,$C$20:$C$49,$C61,'CBA Inputs'!$H$20:$H$49,"&lt;="&amp;V$52,$J$20:$J$49,"&gt;="&amp;V$52)*0.01+SUMIFS($O$20:$O$49,$M$20:$M$49,$C61,'CBA Inputs'!$R$20:$R$49,"&lt;="&amp;V$52,$U$20:$U$49,"&gt;="&amp;V$52,$T$20:$T$49,Scenario_Select)*0.01</f>
        <v>10140000</v>
      </c>
      <c r="W61" s="182">
        <f>SUMIFS($E$20:$E$49,$C$20:$C$49,$C61,'CBA Inputs'!$H$20:$H$49,"&lt;="&amp;W$52,$J$20:$J$49,"&gt;="&amp;W$52)*0.01+SUMIFS($O$20:$O$49,$M$20:$M$49,$C61,'CBA Inputs'!$R$20:$R$49,"&lt;="&amp;W$52,$U$20:$U$49,"&gt;="&amp;W$52,$T$20:$T$49,Scenario_Select)*0.01</f>
        <v>10140000</v>
      </c>
      <c r="X61" s="182">
        <f>SUMIFS($E$20:$E$49,$C$20:$C$49,$C61,'CBA Inputs'!$H$20:$H$49,"&lt;="&amp;X$52,$J$20:$J$49,"&gt;="&amp;X$52)*0.01+SUMIFS($O$20:$O$49,$M$20:$M$49,$C61,'CBA Inputs'!$R$20:$R$49,"&lt;="&amp;X$52,$U$20:$U$49,"&gt;="&amp;X$52,$T$20:$T$49,Scenario_Select)*0.01</f>
        <v>10140000</v>
      </c>
      <c r="Y61" s="182">
        <f>SUMIFS($E$20:$E$49,$C$20:$C$49,$C61,'CBA Inputs'!$H$20:$H$49,"&lt;="&amp;Y$52,$J$20:$J$49,"&gt;="&amp;Y$52)*0.01+SUMIFS($O$20:$O$49,$M$20:$M$49,$C61,'CBA Inputs'!$R$20:$R$49,"&lt;="&amp;Y$52,$U$20:$U$49,"&gt;="&amp;Y$52,$T$20:$T$49,Scenario_Select)*0.01</f>
        <v>10140000</v>
      </c>
      <c r="Z61" s="182">
        <f>SUMIFS($E$20:$E$49,$C$20:$C$49,$C61,'CBA Inputs'!$H$20:$H$49,"&lt;="&amp;Z$52,$J$20:$J$49,"&gt;="&amp;Z$52)*0.01+SUMIFS($O$20:$O$49,$M$20:$M$49,$C61,'CBA Inputs'!$R$20:$R$49,"&lt;="&amp;Z$52,$U$20:$U$49,"&gt;="&amp;Z$52,$T$20:$T$49,Scenario_Select)*0.01</f>
        <v>10140000</v>
      </c>
      <c r="AA61" s="182">
        <f>SUMIFS($E$20:$E$49,$C$20:$C$49,$C61,'CBA Inputs'!$H$20:$H$49,"&lt;="&amp;AA$52,$J$20:$J$49,"&gt;="&amp;AA$52)*0.01+SUMIFS($O$20:$O$49,$M$20:$M$49,$C61,'CBA Inputs'!$R$20:$R$49,"&lt;="&amp;AA$52,$U$20:$U$49,"&gt;="&amp;AA$52,$T$20:$T$49,Scenario_Select)*0.01</f>
        <v>10140000</v>
      </c>
      <c r="AB61" s="182">
        <f>SUMIFS($E$20:$E$49,$C$20:$C$49,$C61,'CBA Inputs'!$H$20:$H$49,"&lt;="&amp;AB$52,$J$20:$J$49,"&gt;="&amp;AB$52)*0.01+SUMIFS($O$20:$O$49,$M$20:$M$49,$C61,'CBA Inputs'!$R$20:$R$49,"&lt;="&amp;AB$52,$U$20:$U$49,"&gt;="&amp;AB$52,$T$20:$T$49,Scenario_Select)*0.01</f>
        <v>10140000</v>
      </c>
      <c r="AC61" s="182">
        <f>SUMIFS($E$20:$E$49,$C$20:$C$49,$C61,'CBA Inputs'!$H$20:$H$49,"&lt;="&amp;AC$52,$J$20:$J$49,"&gt;="&amp;AC$52)*0.01+SUMIFS($O$20:$O$49,$M$20:$M$49,$C61,'CBA Inputs'!$R$20:$R$49,"&lt;="&amp;AC$52,$U$20:$U$49,"&gt;="&amp;AC$52,$T$20:$T$49,Scenario_Select)*0.01</f>
        <v>10140000</v>
      </c>
      <c r="AD61" s="182">
        <f>SUMIFS($E$20:$E$49,$C$20:$C$49,$C61,'CBA Inputs'!$H$20:$H$49,"&lt;="&amp;AD$52,$J$20:$J$49,"&gt;="&amp;AD$52)*0.01+SUMIFS($O$20:$O$49,$M$20:$M$49,$C61,'CBA Inputs'!$R$20:$R$49,"&lt;="&amp;AD$52,$U$20:$U$49,"&gt;="&amp;AD$52,$T$20:$T$49,Scenario_Select)*0.01</f>
        <v>10140000</v>
      </c>
      <c r="AE61" s="182">
        <f>SUMIFS($E$20:$E$49,$C$20:$C$49,$C61,'CBA Inputs'!$H$20:$H$49,"&lt;="&amp;AE$52,$J$20:$J$49,"&gt;="&amp;AE$52)*0.01+SUMIFS($O$20:$O$49,$M$20:$M$49,$C61,'CBA Inputs'!$R$20:$R$49,"&lt;="&amp;AE$52,$U$20:$U$49,"&gt;="&amp;AE$52,$T$20:$T$49,Scenario_Select)*0.01</f>
        <v>10140000</v>
      </c>
      <c r="AF61" s="182">
        <f>SUMIFS($E$20:$E$49,$C$20:$C$49,$C61,'CBA Inputs'!$H$20:$H$49,"&lt;="&amp;AF$52,$J$20:$J$49,"&gt;="&amp;AF$52)*0.01+SUMIFS($O$20:$O$49,$M$20:$M$49,$C61,'CBA Inputs'!$R$20:$R$49,"&lt;="&amp;AF$52,$U$20:$U$49,"&gt;="&amp;AF$52,$T$20:$T$49,Scenario_Select)*0.01</f>
        <v>10140000</v>
      </c>
      <c r="AG61" s="182">
        <f>SUMIFS($E$20:$E$49,$C$20:$C$49,$C61,'CBA Inputs'!$H$20:$H$49,"&lt;="&amp;AG$52,$J$20:$J$49,"&gt;="&amp;AG$52)*0.01+SUMIFS($O$20:$O$49,$M$20:$M$49,$C61,'CBA Inputs'!$R$20:$R$49,"&lt;="&amp;AG$52,$U$20:$U$49,"&gt;="&amp;AG$52,$T$20:$T$49,Scenario_Select)*0.01</f>
        <v>10140000</v>
      </c>
      <c r="AH61" s="182">
        <f>SUMIFS($E$20:$E$49,$C$20:$C$49,$C61,'CBA Inputs'!$H$20:$H$49,"&lt;="&amp;AH$52,$J$20:$J$49,"&gt;="&amp;AH$52)*0.01+SUMIFS($O$20:$O$49,$M$20:$M$49,$C61,'CBA Inputs'!$R$20:$R$49,"&lt;="&amp;AH$52,$U$20:$U$49,"&gt;="&amp;AH$52,$T$20:$T$49,Scenario_Select)*0.01</f>
        <v>10140000</v>
      </c>
      <c r="AI61" s="182">
        <f>SUMIFS($E$20:$E$49,$C$20:$C$49,$C61,'CBA Inputs'!$H$20:$H$49,"&lt;="&amp;AI$52,$J$20:$J$49,"&gt;="&amp;AI$52)*0.01+SUMIFS($O$20:$O$49,$M$20:$M$49,$C61,'CBA Inputs'!$R$20:$R$49,"&lt;="&amp;AI$52,$U$20:$U$49,"&gt;="&amp;AI$52,$T$20:$T$49,Scenario_Select)*0.01</f>
        <v>10140000</v>
      </c>
      <c r="AK61" s="187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</row>
    <row r="62" spans="1:65" x14ac:dyDescent="0.35">
      <c r="A62" s="83"/>
      <c r="B62" s="64">
        <f>+'Option inputs'!$B$22</f>
        <v>8</v>
      </c>
      <c r="C62" s="122" t="str">
        <f>'Option inputs'!$C$22</f>
        <v>Option 3B</v>
      </c>
      <c r="D62" s="62"/>
      <c r="E62" s="68" t="s">
        <v>35</v>
      </c>
      <c r="F62" s="182">
        <f>SUMIFS($E$20:$E$49,$C$20:$C$49,$C62,'CBA Inputs'!$H$20:$H$49,"&lt;="&amp;F$52,$J$20:$J$49,"&gt;="&amp;F$52)*0.01+SUMIFS($O$20:$O$49,$M$20:$M$49,$C62,'CBA Inputs'!$R$20:$R$49,"&lt;="&amp;F$52,$U$20:$U$49,"&gt;="&amp;F$52,$T$20:$T$49,Scenario_Select)*0.01</f>
        <v>0</v>
      </c>
      <c r="G62" s="182">
        <f>SUMIFS($E$20:$E$49,$C$20:$C$49,$C62,'CBA Inputs'!$H$20:$H$49,"&lt;="&amp;G$52,$J$20:$J$49,"&gt;="&amp;G$52)*0.01+SUMIFS($O$20:$O$49,$M$20:$M$49,$C62,'CBA Inputs'!$R$20:$R$49,"&lt;="&amp;G$52,$U$20:$U$49,"&gt;="&amp;G$52,$T$20:$T$49,Scenario_Select)*0.01</f>
        <v>0</v>
      </c>
      <c r="H62" s="182">
        <f>SUMIFS($E$20:$E$49,$C$20:$C$49,$C62,'CBA Inputs'!$H$20:$H$49,"&lt;="&amp;H$52,$J$20:$J$49,"&gt;="&amp;H$52)*0.01+SUMIFS($O$20:$O$49,$M$20:$M$49,$C62,'CBA Inputs'!$R$20:$R$49,"&lt;="&amp;H$52,$U$20:$U$49,"&gt;="&amp;H$52,$T$20:$T$49,Scenario_Select)*0.01</f>
        <v>0</v>
      </c>
      <c r="I62" s="182">
        <f>SUMIFS($E$20:$E$49,$C$20:$C$49,$C62,'CBA Inputs'!$H$20:$H$49,"&lt;="&amp;I$52,$J$20:$J$49,"&gt;="&amp;I$52)*0.01+SUMIFS($O$20:$O$49,$M$20:$M$49,$C62,'CBA Inputs'!$R$20:$R$49,"&lt;="&amp;I$52,$U$20:$U$49,"&gt;="&amp;I$52,$T$20:$T$49,Scenario_Select)*0.01</f>
        <v>0</v>
      </c>
      <c r="J62" s="182">
        <f>SUMIFS($E$20:$E$49,$C$20:$C$49,$C62,'CBA Inputs'!$H$20:$H$49,"&lt;="&amp;J$52,$J$20:$J$49,"&gt;="&amp;J$52)*0.01+SUMIFS($O$20:$O$49,$M$20:$M$49,$C62,'CBA Inputs'!$R$20:$R$49,"&lt;="&amp;J$52,$U$20:$U$49,"&gt;="&amp;J$52,$T$20:$T$49,Scenario_Select)*0.01</f>
        <v>0</v>
      </c>
      <c r="K62" s="182">
        <f>SUMIFS($E$20:$E$49,$C$20:$C$49,$C62,'CBA Inputs'!$H$20:$H$49,"&lt;="&amp;K$52,$J$20:$J$49,"&gt;="&amp;K$52)*0.01+SUMIFS($O$20:$O$49,$M$20:$M$49,$C62,'CBA Inputs'!$R$20:$R$49,"&lt;="&amp;K$52,$U$20:$U$49,"&gt;="&amp;K$52,$T$20:$T$49,Scenario_Select)*0.01</f>
        <v>12210000</v>
      </c>
      <c r="L62" s="182">
        <f>SUMIFS($E$20:$E$49,$C$20:$C$49,$C62,'CBA Inputs'!$H$20:$H$49,"&lt;="&amp;L$52,$J$20:$J$49,"&gt;="&amp;L$52)*0.01+SUMIFS($O$20:$O$49,$M$20:$M$49,$C62,'CBA Inputs'!$R$20:$R$49,"&lt;="&amp;L$52,$U$20:$U$49,"&gt;="&amp;L$52,$T$20:$T$49,Scenario_Select)*0.01</f>
        <v>12210000</v>
      </c>
      <c r="M62" s="182">
        <f>SUMIFS($E$20:$E$49,$C$20:$C$49,$C62,'CBA Inputs'!$H$20:$H$49,"&lt;="&amp;M$52,$J$20:$J$49,"&gt;="&amp;M$52)*0.01+SUMIFS($O$20:$O$49,$M$20:$M$49,$C62,'CBA Inputs'!$R$20:$R$49,"&lt;="&amp;M$52,$U$20:$U$49,"&gt;="&amp;M$52,$T$20:$T$49,Scenario_Select)*0.01</f>
        <v>12210000</v>
      </c>
      <c r="N62" s="182">
        <f>SUMIFS($E$20:$E$49,$C$20:$C$49,$C62,'CBA Inputs'!$H$20:$H$49,"&lt;="&amp;N$52,$J$20:$J$49,"&gt;="&amp;N$52)*0.01+SUMIFS($O$20:$O$49,$M$20:$M$49,$C62,'CBA Inputs'!$R$20:$R$49,"&lt;="&amp;N$52,$U$20:$U$49,"&gt;="&amp;N$52,$T$20:$T$49,Scenario_Select)*0.01</f>
        <v>12210000</v>
      </c>
      <c r="O62" s="182">
        <f>SUMIFS($E$20:$E$49,$C$20:$C$49,$C62,'CBA Inputs'!$H$20:$H$49,"&lt;="&amp;O$52,$J$20:$J$49,"&gt;="&amp;O$52)*0.01+SUMIFS($O$20:$O$49,$M$20:$M$49,$C62,'CBA Inputs'!$R$20:$R$49,"&lt;="&amp;O$52,$U$20:$U$49,"&gt;="&amp;O$52,$T$20:$T$49,Scenario_Select)*0.01</f>
        <v>12210000</v>
      </c>
      <c r="P62" s="182">
        <f>SUMIFS($E$20:$E$49,$C$20:$C$49,$C62,'CBA Inputs'!$H$20:$H$49,"&lt;="&amp;P$52,$J$20:$J$49,"&gt;="&amp;P$52)*0.01+SUMIFS($O$20:$O$49,$M$20:$M$49,$C62,'CBA Inputs'!$R$20:$R$49,"&lt;="&amp;P$52,$U$20:$U$49,"&gt;="&amp;P$52,$T$20:$T$49,Scenario_Select)*0.01</f>
        <v>13870000</v>
      </c>
      <c r="Q62" s="182">
        <f>SUMIFS($E$20:$E$49,$C$20:$C$49,$C62,'CBA Inputs'!$H$20:$H$49,"&lt;="&amp;Q$52,$J$20:$J$49,"&gt;="&amp;Q$52)*0.01+SUMIFS($O$20:$O$49,$M$20:$M$49,$C62,'CBA Inputs'!$R$20:$R$49,"&lt;="&amp;Q$52,$U$20:$U$49,"&gt;="&amp;Q$52,$T$20:$T$49,Scenario_Select)*0.01</f>
        <v>13870000</v>
      </c>
      <c r="R62" s="182">
        <f>SUMIFS($E$20:$E$49,$C$20:$C$49,$C62,'CBA Inputs'!$H$20:$H$49,"&lt;="&amp;R$52,$J$20:$J$49,"&gt;="&amp;R$52)*0.01+SUMIFS($O$20:$O$49,$M$20:$M$49,$C62,'CBA Inputs'!$R$20:$R$49,"&lt;="&amp;R$52,$U$20:$U$49,"&gt;="&amp;R$52,$T$20:$T$49,Scenario_Select)*0.01</f>
        <v>13870000</v>
      </c>
      <c r="S62" s="182">
        <f>SUMIFS($E$20:$E$49,$C$20:$C$49,$C62,'CBA Inputs'!$H$20:$H$49,"&lt;="&amp;S$52,$J$20:$J$49,"&gt;="&amp;S$52)*0.01+SUMIFS($O$20:$O$49,$M$20:$M$49,$C62,'CBA Inputs'!$R$20:$R$49,"&lt;="&amp;S$52,$U$20:$U$49,"&gt;="&amp;S$52,$T$20:$T$49,Scenario_Select)*0.01</f>
        <v>13870000</v>
      </c>
      <c r="T62" s="182">
        <f>SUMIFS($E$20:$E$49,$C$20:$C$49,$C62,'CBA Inputs'!$H$20:$H$49,"&lt;="&amp;T$52,$J$20:$J$49,"&gt;="&amp;T$52)*0.01+SUMIFS($O$20:$O$49,$M$20:$M$49,$C62,'CBA Inputs'!$R$20:$R$49,"&lt;="&amp;T$52,$U$20:$U$49,"&gt;="&amp;T$52,$T$20:$T$49,Scenario_Select)*0.01</f>
        <v>13870000</v>
      </c>
      <c r="U62" s="182">
        <f>SUMIFS($E$20:$E$49,$C$20:$C$49,$C62,'CBA Inputs'!$H$20:$H$49,"&lt;="&amp;U$52,$J$20:$J$49,"&gt;="&amp;U$52)*0.01+SUMIFS($O$20:$O$49,$M$20:$M$49,$C62,'CBA Inputs'!$R$20:$R$49,"&lt;="&amp;U$52,$U$20:$U$49,"&gt;="&amp;U$52,$T$20:$T$49,Scenario_Select)*0.01</f>
        <v>13870000</v>
      </c>
      <c r="V62" s="182">
        <f>SUMIFS($E$20:$E$49,$C$20:$C$49,$C62,'CBA Inputs'!$H$20:$H$49,"&lt;="&amp;V$52,$J$20:$J$49,"&gt;="&amp;V$52)*0.01+SUMIFS($O$20:$O$49,$M$20:$M$49,$C62,'CBA Inputs'!$R$20:$R$49,"&lt;="&amp;V$52,$U$20:$U$49,"&gt;="&amp;V$52,$T$20:$T$49,Scenario_Select)*0.01</f>
        <v>13870000</v>
      </c>
      <c r="W62" s="182">
        <f>SUMIFS($E$20:$E$49,$C$20:$C$49,$C62,'CBA Inputs'!$H$20:$H$49,"&lt;="&amp;W$52,$J$20:$J$49,"&gt;="&amp;W$52)*0.01+SUMIFS($O$20:$O$49,$M$20:$M$49,$C62,'CBA Inputs'!$R$20:$R$49,"&lt;="&amp;W$52,$U$20:$U$49,"&gt;="&amp;W$52,$T$20:$T$49,Scenario_Select)*0.01</f>
        <v>13870000</v>
      </c>
      <c r="X62" s="182">
        <f>SUMIFS($E$20:$E$49,$C$20:$C$49,$C62,'CBA Inputs'!$H$20:$H$49,"&lt;="&amp;X$52,$J$20:$J$49,"&gt;="&amp;X$52)*0.01+SUMIFS($O$20:$O$49,$M$20:$M$49,$C62,'CBA Inputs'!$R$20:$R$49,"&lt;="&amp;X$52,$U$20:$U$49,"&gt;="&amp;X$52,$T$20:$T$49,Scenario_Select)*0.01</f>
        <v>13870000</v>
      </c>
      <c r="Y62" s="182">
        <f>SUMIFS($E$20:$E$49,$C$20:$C$49,$C62,'CBA Inputs'!$H$20:$H$49,"&lt;="&amp;Y$52,$J$20:$J$49,"&gt;="&amp;Y$52)*0.01+SUMIFS($O$20:$O$49,$M$20:$M$49,$C62,'CBA Inputs'!$R$20:$R$49,"&lt;="&amp;Y$52,$U$20:$U$49,"&gt;="&amp;Y$52,$T$20:$T$49,Scenario_Select)*0.01</f>
        <v>13870000</v>
      </c>
      <c r="Z62" s="182">
        <f>SUMIFS($E$20:$E$49,$C$20:$C$49,$C62,'CBA Inputs'!$H$20:$H$49,"&lt;="&amp;Z$52,$J$20:$J$49,"&gt;="&amp;Z$52)*0.01+SUMIFS($O$20:$O$49,$M$20:$M$49,$C62,'CBA Inputs'!$R$20:$R$49,"&lt;="&amp;Z$52,$U$20:$U$49,"&gt;="&amp;Z$52,$T$20:$T$49,Scenario_Select)*0.01</f>
        <v>13870000</v>
      </c>
      <c r="AA62" s="182">
        <f>SUMIFS($E$20:$E$49,$C$20:$C$49,$C62,'CBA Inputs'!$H$20:$H$49,"&lt;="&amp;AA$52,$J$20:$J$49,"&gt;="&amp;AA$52)*0.01+SUMIFS($O$20:$O$49,$M$20:$M$49,$C62,'CBA Inputs'!$R$20:$R$49,"&lt;="&amp;AA$52,$U$20:$U$49,"&gt;="&amp;AA$52,$T$20:$T$49,Scenario_Select)*0.01</f>
        <v>13870000</v>
      </c>
      <c r="AB62" s="182">
        <f>SUMIFS($E$20:$E$49,$C$20:$C$49,$C62,'CBA Inputs'!$H$20:$H$49,"&lt;="&amp;AB$52,$J$20:$J$49,"&gt;="&amp;AB$52)*0.01+SUMIFS($O$20:$O$49,$M$20:$M$49,$C62,'CBA Inputs'!$R$20:$R$49,"&lt;="&amp;AB$52,$U$20:$U$49,"&gt;="&amp;AB$52,$T$20:$T$49,Scenario_Select)*0.01</f>
        <v>13870000</v>
      </c>
      <c r="AC62" s="182">
        <f>SUMIFS($E$20:$E$49,$C$20:$C$49,$C62,'CBA Inputs'!$H$20:$H$49,"&lt;="&amp;AC$52,$J$20:$J$49,"&gt;="&amp;AC$52)*0.01+SUMIFS($O$20:$O$49,$M$20:$M$49,$C62,'CBA Inputs'!$R$20:$R$49,"&lt;="&amp;AC$52,$U$20:$U$49,"&gt;="&amp;AC$52,$T$20:$T$49,Scenario_Select)*0.01</f>
        <v>13870000</v>
      </c>
      <c r="AD62" s="182">
        <f>SUMIFS($E$20:$E$49,$C$20:$C$49,$C62,'CBA Inputs'!$H$20:$H$49,"&lt;="&amp;AD$52,$J$20:$J$49,"&gt;="&amp;AD$52)*0.01+SUMIFS($O$20:$O$49,$M$20:$M$49,$C62,'CBA Inputs'!$R$20:$R$49,"&lt;="&amp;AD$52,$U$20:$U$49,"&gt;="&amp;AD$52,$T$20:$T$49,Scenario_Select)*0.01</f>
        <v>13870000</v>
      </c>
      <c r="AE62" s="182">
        <f>SUMIFS($E$20:$E$49,$C$20:$C$49,$C62,'CBA Inputs'!$H$20:$H$49,"&lt;="&amp;AE$52,$J$20:$J$49,"&gt;="&amp;AE$52)*0.01+SUMIFS($O$20:$O$49,$M$20:$M$49,$C62,'CBA Inputs'!$R$20:$R$49,"&lt;="&amp;AE$52,$U$20:$U$49,"&gt;="&amp;AE$52,$T$20:$T$49,Scenario_Select)*0.01</f>
        <v>13870000</v>
      </c>
      <c r="AF62" s="182">
        <f>SUMIFS($E$20:$E$49,$C$20:$C$49,$C62,'CBA Inputs'!$H$20:$H$49,"&lt;="&amp;AF$52,$J$20:$J$49,"&gt;="&amp;AF$52)*0.01+SUMIFS($O$20:$O$49,$M$20:$M$49,$C62,'CBA Inputs'!$R$20:$R$49,"&lt;="&amp;AF$52,$U$20:$U$49,"&gt;="&amp;AF$52,$T$20:$T$49,Scenario_Select)*0.01</f>
        <v>13870000</v>
      </c>
      <c r="AG62" s="182">
        <f>SUMIFS($E$20:$E$49,$C$20:$C$49,$C62,'CBA Inputs'!$H$20:$H$49,"&lt;="&amp;AG$52,$J$20:$J$49,"&gt;="&amp;AG$52)*0.01+SUMIFS($O$20:$O$49,$M$20:$M$49,$C62,'CBA Inputs'!$R$20:$R$49,"&lt;="&amp;AG$52,$U$20:$U$49,"&gt;="&amp;AG$52,$T$20:$T$49,Scenario_Select)*0.01</f>
        <v>13870000</v>
      </c>
      <c r="AH62" s="182">
        <f>SUMIFS($E$20:$E$49,$C$20:$C$49,$C62,'CBA Inputs'!$H$20:$H$49,"&lt;="&amp;AH$52,$J$20:$J$49,"&gt;="&amp;AH$52)*0.01+SUMIFS($O$20:$O$49,$M$20:$M$49,$C62,'CBA Inputs'!$R$20:$R$49,"&lt;="&amp;AH$52,$U$20:$U$49,"&gt;="&amp;AH$52,$T$20:$T$49,Scenario_Select)*0.01</f>
        <v>13870000</v>
      </c>
      <c r="AI62" s="182">
        <f>SUMIFS($E$20:$E$49,$C$20:$C$49,$C62,'CBA Inputs'!$H$20:$H$49,"&lt;="&amp;AI$52,$J$20:$J$49,"&gt;="&amp;AI$52)*0.01+SUMIFS($O$20:$O$49,$M$20:$M$49,$C62,'CBA Inputs'!$R$20:$R$49,"&lt;="&amp;AI$52,$U$20:$U$49,"&gt;="&amp;AI$52,$T$20:$T$49,Scenario_Select)*0.01</f>
        <v>13870000</v>
      </c>
      <c r="AK62" s="187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</row>
    <row r="63" spans="1:65" x14ac:dyDescent="0.35">
      <c r="B63" s="64">
        <f>+'Option inputs'!$B$23</f>
        <v>9</v>
      </c>
      <c r="C63" s="122" t="str">
        <f>'Option inputs'!$C$23</f>
        <v>Option 3C</v>
      </c>
      <c r="D63" s="62"/>
      <c r="E63" s="68" t="s">
        <v>35</v>
      </c>
      <c r="F63" s="182">
        <f>SUMIFS($E$20:$E$49,$C$20:$C$49,$C63,'CBA Inputs'!$H$20:$H$49,"&lt;="&amp;F$52,$J$20:$J$49,"&gt;="&amp;F$52)*0.01+SUMIFS($O$20:$O$49,$M$20:$M$49,$C63,'CBA Inputs'!$R$20:$R$49,"&lt;="&amp;F$52,$U$20:$U$49,"&gt;="&amp;F$52,$T$20:$T$49,Scenario_Select)*0.01</f>
        <v>0</v>
      </c>
      <c r="G63" s="182">
        <f>SUMIFS($E$20:$E$49,$C$20:$C$49,$C63,'CBA Inputs'!$H$20:$H$49,"&lt;="&amp;G$52,$J$20:$J$49,"&gt;="&amp;G$52)*0.01+SUMIFS($O$20:$O$49,$M$20:$M$49,$C63,'CBA Inputs'!$R$20:$R$49,"&lt;="&amp;G$52,$U$20:$U$49,"&gt;="&amp;G$52,$T$20:$T$49,Scenario_Select)*0.01</f>
        <v>0</v>
      </c>
      <c r="H63" s="182">
        <f>SUMIFS($E$20:$E$49,$C$20:$C$49,$C63,'CBA Inputs'!$H$20:$H$49,"&lt;="&amp;H$52,$J$20:$J$49,"&gt;="&amp;H$52)*0.01+SUMIFS($O$20:$O$49,$M$20:$M$49,$C63,'CBA Inputs'!$R$20:$R$49,"&lt;="&amp;H$52,$U$20:$U$49,"&gt;="&amp;H$52,$T$20:$T$49,Scenario_Select)*0.01</f>
        <v>0</v>
      </c>
      <c r="I63" s="182">
        <f>SUMIFS($E$20:$E$49,$C$20:$C$49,$C63,'CBA Inputs'!$H$20:$H$49,"&lt;="&amp;I$52,$J$20:$J$49,"&gt;="&amp;I$52)*0.01+SUMIFS($O$20:$O$49,$M$20:$M$49,$C63,'CBA Inputs'!$R$20:$R$49,"&lt;="&amp;I$52,$U$20:$U$49,"&gt;="&amp;I$52,$T$20:$T$49,Scenario_Select)*0.01</f>
        <v>0</v>
      </c>
      <c r="J63" s="182">
        <f>SUMIFS($E$20:$E$49,$C$20:$C$49,$C63,'CBA Inputs'!$H$20:$H$49,"&lt;="&amp;J$52,$J$20:$J$49,"&gt;="&amp;J$52)*0.01+SUMIFS($O$20:$O$49,$M$20:$M$49,$C63,'CBA Inputs'!$R$20:$R$49,"&lt;="&amp;J$52,$U$20:$U$49,"&gt;="&amp;J$52,$T$20:$T$49,Scenario_Select)*0.01</f>
        <v>0</v>
      </c>
      <c r="K63" s="182">
        <f>SUMIFS($E$20:$E$49,$C$20:$C$49,$C63,'CBA Inputs'!$H$20:$H$49,"&lt;="&amp;K$52,$J$20:$J$49,"&gt;="&amp;K$52)*0.01+SUMIFS($O$20:$O$49,$M$20:$M$49,$C63,'CBA Inputs'!$R$20:$R$49,"&lt;="&amp;K$52,$U$20:$U$49,"&gt;="&amp;K$52,$T$20:$T$49,Scenario_Select)*0.01</f>
        <v>13550000</v>
      </c>
      <c r="L63" s="182">
        <f>SUMIFS($E$20:$E$49,$C$20:$C$49,$C63,'CBA Inputs'!$H$20:$H$49,"&lt;="&amp;L$52,$J$20:$J$49,"&gt;="&amp;L$52)*0.01+SUMIFS($O$20:$O$49,$M$20:$M$49,$C63,'CBA Inputs'!$R$20:$R$49,"&lt;="&amp;L$52,$U$20:$U$49,"&gt;="&amp;L$52,$T$20:$T$49,Scenario_Select)*0.01</f>
        <v>13550000</v>
      </c>
      <c r="M63" s="182">
        <f>SUMIFS($E$20:$E$49,$C$20:$C$49,$C63,'CBA Inputs'!$H$20:$H$49,"&lt;="&amp;M$52,$J$20:$J$49,"&gt;="&amp;M$52)*0.01+SUMIFS($O$20:$O$49,$M$20:$M$49,$C63,'CBA Inputs'!$R$20:$R$49,"&lt;="&amp;M$52,$U$20:$U$49,"&gt;="&amp;M$52,$T$20:$T$49,Scenario_Select)*0.01</f>
        <v>13550000</v>
      </c>
      <c r="N63" s="182">
        <f>SUMIFS($E$20:$E$49,$C$20:$C$49,$C63,'CBA Inputs'!$H$20:$H$49,"&lt;="&amp;N$52,$J$20:$J$49,"&gt;="&amp;N$52)*0.01+SUMIFS($O$20:$O$49,$M$20:$M$49,$C63,'CBA Inputs'!$R$20:$R$49,"&lt;="&amp;N$52,$U$20:$U$49,"&gt;="&amp;N$52,$T$20:$T$49,Scenario_Select)*0.01</f>
        <v>13550000</v>
      </c>
      <c r="O63" s="182">
        <f>SUMIFS($E$20:$E$49,$C$20:$C$49,$C63,'CBA Inputs'!$H$20:$H$49,"&lt;="&amp;O$52,$J$20:$J$49,"&gt;="&amp;O$52)*0.01+SUMIFS($O$20:$O$49,$M$20:$M$49,$C63,'CBA Inputs'!$R$20:$R$49,"&lt;="&amp;O$52,$U$20:$U$49,"&gt;="&amp;O$52,$T$20:$T$49,Scenario_Select)*0.01</f>
        <v>13550000</v>
      </c>
      <c r="P63" s="182">
        <f>SUMIFS($E$20:$E$49,$C$20:$C$49,$C63,'CBA Inputs'!$H$20:$H$49,"&lt;="&amp;P$52,$J$20:$J$49,"&gt;="&amp;P$52)*0.01+SUMIFS($O$20:$O$49,$M$20:$M$49,$C63,'CBA Inputs'!$R$20:$R$49,"&lt;="&amp;P$52,$U$20:$U$49,"&gt;="&amp;P$52,$T$20:$T$49,Scenario_Select)*0.01</f>
        <v>13550000</v>
      </c>
      <c r="Q63" s="182">
        <f>SUMIFS($E$20:$E$49,$C$20:$C$49,$C63,'CBA Inputs'!$H$20:$H$49,"&lt;="&amp;Q$52,$J$20:$J$49,"&gt;="&amp;Q$52)*0.01+SUMIFS($O$20:$O$49,$M$20:$M$49,$C63,'CBA Inputs'!$R$20:$R$49,"&lt;="&amp;Q$52,$U$20:$U$49,"&gt;="&amp;Q$52,$T$20:$T$49,Scenario_Select)*0.01</f>
        <v>13550000</v>
      </c>
      <c r="R63" s="182">
        <f>SUMIFS($E$20:$E$49,$C$20:$C$49,$C63,'CBA Inputs'!$H$20:$H$49,"&lt;="&amp;R$52,$J$20:$J$49,"&gt;="&amp;R$52)*0.01+SUMIFS($O$20:$O$49,$M$20:$M$49,$C63,'CBA Inputs'!$R$20:$R$49,"&lt;="&amp;R$52,$U$20:$U$49,"&gt;="&amp;R$52,$T$20:$T$49,Scenario_Select)*0.01</f>
        <v>13550000</v>
      </c>
      <c r="S63" s="182">
        <f>SUMIFS($E$20:$E$49,$C$20:$C$49,$C63,'CBA Inputs'!$H$20:$H$49,"&lt;="&amp;S$52,$J$20:$J$49,"&gt;="&amp;S$52)*0.01+SUMIFS($O$20:$O$49,$M$20:$M$49,$C63,'CBA Inputs'!$R$20:$R$49,"&lt;="&amp;S$52,$U$20:$U$49,"&gt;="&amp;S$52,$T$20:$T$49,Scenario_Select)*0.01</f>
        <v>13550000</v>
      </c>
      <c r="T63" s="182">
        <f>SUMIFS($E$20:$E$49,$C$20:$C$49,$C63,'CBA Inputs'!$H$20:$H$49,"&lt;="&amp;T$52,$J$20:$J$49,"&gt;="&amp;T$52)*0.01+SUMIFS($O$20:$O$49,$M$20:$M$49,$C63,'CBA Inputs'!$R$20:$R$49,"&lt;="&amp;T$52,$U$20:$U$49,"&gt;="&amp;T$52,$T$20:$T$49,Scenario_Select)*0.01</f>
        <v>13550000</v>
      </c>
      <c r="U63" s="182">
        <f>SUMIFS($E$20:$E$49,$C$20:$C$49,$C63,'CBA Inputs'!$H$20:$H$49,"&lt;="&amp;U$52,$J$20:$J$49,"&gt;="&amp;U$52)*0.01+SUMIFS($O$20:$O$49,$M$20:$M$49,$C63,'CBA Inputs'!$R$20:$R$49,"&lt;="&amp;U$52,$U$20:$U$49,"&gt;="&amp;U$52,$T$20:$T$49,Scenario_Select)*0.01</f>
        <v>13550000</v>
      </c>
      <c r="V63" s="182">
        <f>SUMIFS($E$20:$E$49,$C$20:$C$49,$C63,'CBA Inputs'!$H$20:$H$49,"&lt;="&amp;V$52,$J$20:$J$49,"&gt;="&amp;V$52)*0.01+SUMIFS($O$20:$O$49,$M$20:$M$49,$C63,'CBA Inputs'!$R$20:$R$49,"&lt;="&amp;V$52,$U$20:$U$49,"&gt;="&amp;V$52,$T$20:$T$49,Scenario_Select)*0.01</f>
        <v>13550000</v>
      </c>
      <c r="W63" s="182">
        <f>SUMIFS($E$20:$E$49,$C$20:$C$49,$C63,'CBA Inputs'!$H$20:$H$49,"&lt;="&amp;W$52,$J$20:$J$49,"&gt;="&amp;W$52)*0.01+SUMIFS($O$20:$O$49,$M$20:$M$49,$C63,'CBA Inputs'!$R$20:$R$49,"&lt;="&amp;W$52,$U$20:$U$49,"&gt;="&amp;W$52,$T$20:$T$49,Scenario_Select)*0.01</f>
        <v>13550000</v>
      </c>
      <c r="X63" s="182">
        <f>SUMIFS($E$20:$E$49,$C$20:$C$49,$C63,'CBA Inputs'!$H$20:$H$49,"&lt;="&amp;X$52,$J$20:$J$49,"&gt;="&amp;X$52)*0.01+SUMIFS($O$20:$O$49,$M$20:$M$49,$C63,'CBA Inputs'!$R$20:$R$49,"&lt;="&amp;X$52,$U$20:$U$49,"&gt;="&amp;X$52,$T$20:$T$49,Scenario_Select)*0.01</f>
        <v>13550000</v>
      </c>
      <c r="Y63" s="182">
        <f>SUMIFS($E$20:$E$49,$C$20:$C$49,$C63,'CBA Inputs'!$H$20:$H$49,"&lt;="&amp;Y$52,$J$20:$J$49,"&gt;="&amp;Y$52)*0.01+SUMIFS($O$20:$O$49,$M$20:$M$49,$C63,'CBA Inputs'!$R$20:$R$49,"&lt;="&amp;Y$52,$U$20:$U$49,"&gt;="&amp;Y$52,$T$20:$T$49,Scenario_Select)*0.01</f>
        <v>13550000</v>
      </c>
      <c r="Z63" s="182">
        <f>SUMIFS($E$20:$E$49,$C$20:$C$49,$C63,'CBA Inputs'!$H$20:$H$49,"&lt;="&amp;Z$52,$J$20:$J$49,"&gt;="&amp;Z$52)*0.01+SUMIFS($O$20:$O$49,$M$20:$M$49,$C63,'CBA Inputs'!$R$20:$R$49,"&lt;="&amp;Z$52,$U$20:$U$49,"&gt;="&amp;Z$52,$T$20:$T$49,Scenario_Select)*0.01</f>
        <v>13550000</v>
      </c>
      <c r="AA63" s="182">
        <f>SUMIFS($E$20:$E$49,$C$20:$C$49,$C63,'CBA Inputs'!$H$20:$H$49,"&lt;="&amp;AA$52,$J$20:$J$49,"&gt;="&amp;AA$52)*0.01+SUMIFS($O$20:$O$49,$M$20:$M$49,$C63,'CBA Inputs'!$R$20:$R$49,"&lt;="&amp;AA$52,$U$20:$U$49,"&gt;="&amp;AA$52,$T$20:$T$49,Scenario_Select)*0.01</f>
        <v>13550000</v>
      </c>
      <c r="AB63" s="182">
        <f>SUMIFS($E$20:$E$49,$C$20:$C$49,$C63,'CBA Inputs'!$H$20:$H$49,"&lt;="&amp;AB$52,$J$20:$J$49,"&gt;="&amp;AB$52)*0.01+SUMIFS($O$20:$O$49,$M$20:$M$49,$C63,'CBA Inputs'!$R$20:$R$49,"&lt;="&amp;AB$52,$U$20:$U$49,"&gt;="&amp;AB$52,$T$20:$T$49,Scenario_Select)*0.01</f>
        <v>13550000</v>
      </c>
      <c r="AC63" s="182">
        <f>SUMIFS($E$20:$E$49,$C$20:$C$49,$C63,'CBA Inputs'!$H$20:$H$49,"&lt;="&amp;AC$52,$J$20:$J$49,"&gt;="&amp;AC$52)*0.01+SUMIFS($O$20:$O$49,$M$20:$M$49,$C63,'CBA Inputs'!$R$20:$R$49,"&lt;="&amp;AC$52,$U$20:$U$49,"&gt;="&amp;AC$52,$T$20:$T$49,Scenario_Select)*0.01</f>
        <v>13550000</v>
      </c>
      <c r="AD63" s="182">
        <f>SUMIFS($E$20:$E$49,$C$20:$C$49,$C63,'CBA Inputs'!$H$20:$H$49,"&lt;="&amp;AD$52,$J$20:$J$49,"&gt;="&amp;AD$52)*0.01+SUMIFS($O$20:$O$49,$M$20:$M$49,$C63,'CBA Inputs'!$R$20:$R$49,"&lt;="&amp;AD$52,$U$20:$U$49,"&gt;="&amp;AD$52,$T$20:$T$49,Scenario_Select)*0.01</f>
        <v>13550000</v>
      </c>
      <c r="AE63" s="182">
        <f>SUMIFS($E$20:$E$49,$C$20:$C$49,$C63,'CBA Inputs'!$H$20:$H$49,"&lt;="&amp;AE$52,$J$20:$J$49,"&gt;="&amp;AE$52)*0.01+SUMIFS($O$20:$O$49,$M$20:$M$49,$C63,'CBA Inputs'!$R$20:$R$49,"&lt;="&amp;AE$52,$U$20:$U$49,"&gt;="&amp;AE$52,$T$20:$T$49,Scenario_Select)*0.01</f>
        <v>13550000</v>
      </c>
      <c r="AF63" s="182">
        <f>SUMIFS($E$20:$E$49,$C$20:$C$49,$C63,'CBA Inputs'!$H$20:$H$49,"&lt;="&amp;AF$52,$J$20:$J$49,"&gt;="&amp;AF$52)*0.01+SUMIFS($O$20:$O$49,$M$20:$M$49,$C63,'CBA Inputs'!$R$20:$R$49,"&lt;="&amp;AF$52,$U$20:$U$49,"&gt;="&amp;AF$52,$T$20:$T$49,Scenario_Select)*0.01</f>
        <v>13550000</v>
      </c>
      <c r="AG63" s="182">
        <f>SUMIFS($E$20:$E$49,$C$20:$C$49,$C63,'CBA Inputs'!$H$20:$H$49,"&lt;="&amp;AG$52,$J$20:$J$49,"&gt;="&amp;AG$52)*0.01+SUMIFS($O$20:$O$49,$M$20:$M$49,$C63,'CBA Inputs'!$R$20:$R$49,"&lt;="&amp;AG$52,$U$20:$U$49,"&gt;="&amp;AG$52,$T$20:$T$49,Scenario_Select)*0.01</f>
        <v>13550000</v>
      </c>
      <c r="AH63" s="182">
        <f>SUMIFS($E$20:$E$49,$C$20:$C$49,$C63,'CBA Inputs'!$H$20:$H$49,"&lt;="&amp;AH$52,$J$20:$J$49,"&gt;="&amp;AH$52)*0.01+SUMIFS($O$20:$O$49,$M$20:$M$49,$C63,'CBA Inputs'!$R$20:$R$49,"&lt;="&amp;AH$52,$U$20:$U$49,"&gt;="&amp;AH$52,$T$20:$T$49,Scenario_Select)*0.01</f>
        <v>13550000</v>
      </c>
      <c r="AI63" s="182">
        <f>SUMIFS($E$20:$E$49,$C$20:$C$49,$C63,'CBA Inputs'!$H$20:$H$49,"&lt;="&amp;AI$52,$J$20:$J$49,"&gt;="&amp;AI$52)*0.01+SUMIFS($O$20:$O$49,$M$20:$M$49,$C63,'CBA Inputs'!$R$20:$R$49,"&lt;="&amp;AI$52,$U$20:$U$49,"&gt;="&amp;AI$52,$T$20:$T$49,Scenario_Select)*0.01</f>
        <v>13550000</v>
      </c>
      <c r="AK63" s="187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</row>
    <row r="64" spans="1:65" x14ac:dyDescent="0.35">
      <c r="B64" s="64">
        <f>+'Option inputs'!$B$24</f>
        <v>10</v>
      </c>
      <c r="C64" s="122" t="str">
        <f>'Option inputs'!$C$24</f>
        <v>Option 4A</v>
      </c>
      <c r="D64" s="62"/>
      <c r="E64" s="68" t="s">
        <v>35</v>
      </c>
      <c r="F64" s="182">
        <f>SUMIFS($E$20:$E$49,$C$20:$C$49,$C64,'CBA Inputs'!$H$20:$H$49,"&lt;="&amp;F$52,$J$20:$J$49,"&gt;="&amp;F$52)*0.01+SUMIFS($O$20:$O$49,$M$20:$M$49,$C64,'CBA Inputs'!$R$20:$R$49,"&lt;="&amp;F$52,$U$20:$U$49,"&gt;="&amp;F$52,$T$20:$T$49,Scenario_Select)*0.01</f>
        <v>0</v>
      </c>
      <c r="G64" s="182">
        <f>SUMIFS($E$20:$E$49,$C$20:$C$49,$C64,'CBA Inputs'!$H$20:$H$49,"&lt;="&amp;G$52,$J$20:$J$49,"&gt;="&amp;G$52)*0.01+SUMIFS($O$20:$O$49,$M$20:$M$49,$C64,'CBA Inputs'!$R$20:$R$49,"&lt;="&amp;G$52,$U$20:$U$49,"&gt;="&amp;G$52,$T$20:$T$49,Scenario_Select)*0.01</f>
        <v>0</v>
      </c>
      <c r="H64" s="182">
        <f>SUMIFS($E$20:$E$49,$C$20:$C$49,$C64,'CBA Inputs'!$H$20:$H$49,"&lt;="&amp;H$52,$J$20:$J$49,"&gt;="&amp;H$52)*0.01+SUMIFS($O$20:$O$49,$M$20:$M$49,$C64,'CBA Inputs'!$R$20:$R$49,"&lt;="&amp;H$52,$U$20:$U$49,"&gt;="&amp;H$52,$T$20:$T$49,Scenario_Select)*0.01</f>
        <v>0</v>
      </c>
      <c r="I64" s="182">
        <f>SUMIFS($E$20:$E$49,$C$20:$C$49,$C64,'CBA Inputs'!$H$20:$H$49,"&lt;="&amp;I$52,$J$20:$J$49,"&gt;="&amp;I$52)*0.01+SUMIFS($O$20:$O$49,$M$20:$M$49,$C64,'CBA Inputs'!$R$20:$R$49,"&lt;="&amp;I$52,$U$20:$U$49,"&gt;="&amp;I$52,$T$20:$T$49,Scenario_Select)*0.01</f>
        <v>0</v>
      </c>
      <c r="J64" s="182">
        <f>SUMIFS($E$20:$E$49,$C$20:$C$49,$C64,'CBA Inputs'!$H$20:$H$49,"&lt;="&amp;J$52,$J$20:$J$49,"&gt;="&amp;J$52)*0.01+SUMIFS($O$20:$O$49,$M$20:$M$49,$C64,'CBA Inputs'!$R$20:$R$49,"&lt;="&amp;J$52,$U$20:$U$49,"&gt;="&amp;J$52,$T$20:$T$49,Scenario_Select)*0.01</f>
        <v>0</v>
      </c>
      <c r="K64" s="182">
        <f>SUMIFS($E$20:$E$49,$C$20:$C$49,$C64,'CBA Inputs'!$H$20:$H$49,"&lt;="&amp;K$52,$J$20:$J$49,"&gt;="&amp;K$52)*0.01+SUMIFS($O$20:$O$49,$M$20:$M$49,$C64,'CBA Inputs'!$R$20:$R$49,"&lt;="&amp;K$52,$U$20:$U$49,"&gt;="&amp;K$52,$T$20:$T$49,Scenario_Select)*0.01</f>
        <v>10150000</v>
      </c>
      <c r="L64" s="182">
        <f>SUMIFS($E$20:$E$49,$C$20:$C$49,$C64,'CBA Inputs'!$H$20:$H$49,"&lt;="&amp;L$52,$J$20:$J$49,"&gt;="&amp;L$52)*0.01+SUMIFS($O$20:$O$49,$M$20:$M$49,$C64,'CBA Inputs'!$R$20:$R$49,"&lt;="&amp;L$52,$U$20:$U$49,"&gt;="&amp;L$52,$T$20:$T$49,Scenario_Select)*0.01</f>
        <v>13310000</v>
      </c>
      <c r="M64" s="182">
        <f>SUMIFS($E$20:$E$49,$C$20:$C$49,$C64,'CBA Inputs'!$H$20:$H$49,"&lt;="&amp;M$52,$J$20:$J$49,"&gt;="&amp;M$52)*0.01+SUMIFS($O$20:$O$49,$M$20:$M$49,$C64,'CBA Inputs'!$R$20:$R$49,"&lt;="&amp;M$52,$U$20:$U$49,"&gt;="&amp;M$52,$T$20:$T$49,Scenario_Select)*0.01</f>
        <v>13310000</v>
      </c>
      <c r="N64" s="182">
        <f>SUMIFS($E$20:$E$49,$C$20:$C$49,$C64,'CBA Inputs'!$H$20:$H$49,"&lt;="&amp;N$52,$J$20:$J$49,"&gt;="&amp;N$52)*0.01+SUMIFS($O$20:$O$49,$M$20:$M$49,$C64,'CBA Inputs'!$R$20:$R$49,"&lt;="&amp;N$52,$U$20:$U$49,"&gt;="&amp;N$52,$T$20:$T$49,Scenario_Select)*0.01</f>
        <v>13310000</v>
      </c>
      <c r="O64" s="182">
        <f>SUMIFS($E$20:$E$49,$C$20:$C$49,$C64,'CBA Inputs'!$H$20:$H$49,"&lt;="&amp;O$52,$J$20:$J$49,"&gt;="&amp;O$52)*0.01+SUMIFS($O$20:$O$49,$M$20:$M$49,$C64,'CBA Inputs'!$R$20:$R$49,"&lt;="&amp;O$52,$U$20:$U$49,"&gt;="&amp;O$52,$T$20:$T$49,Scenario_Select)*0.01</f>
        <v>13310000</v>
      </c>
      <c r="P64" s="182">
        <f>SUMIFS($E$20:$E$49,$C$20:$C$49,$C64,'CBA Inputs'!$H$20:$H$49,"&lt;="&amp;P$52,$J$20:$J$49,"&gt;="&amp;P$52)*0.01+SUMIFS($O$20:$O$49,$M$20:$M$49,$C64,'CBA Inputs'!$R$20:$R$49,"&lt;="&amp;P$52,$U$20:$U$49,"&gt;="&amp;P$52,$T$20:$T$49,Scenario_Select)*0.01</f>
        <v>13310000</v>
      </c>
      <c r="Q64" s="182">
        <f>SUMIFS($E$20:$E$49,$C$20:$C$49,$C64,'CBA Inputs'!$H$20:$H$49,"&lt;="&amp;Q$52,$J$20:$J$49,"&gt;="&amp;Q$52)*0.01+SUMIFS($O$20:$O$49,$M$20:$M$49,$C64,'CBA Inputs'!$R$20:$R$49,"&lt;="&amp;Q$52,$U$20:$U$49,"&gt;="&amp;Q$52,$T$20:$T$49,Scenario_Select)*0.01</f>
        <v>13310000</v>
      </c>
      <c r="R64" s="182">
        <f>SUMIFS($E$20:$E$49,$C$20:$C$49,$C64,'CBA Inputs'!$H$20:$H$49,"&lt;="&amp;R$52,$J$20:$J$49,"&gt;="&amp;R$52)*0.01+SUMIFS($O$20:$O$49,$M$20:$M$49,$C64,'CBA Inputs'!$R$20:$R$49,"&lt;="&amp;R$52,$U$20:$U$49,"&gt;="&amp;R$52,$T$20:$T$49,Scenario_Select)*0.01</f>
        <v>13310000</v>
      </c>
      <c r="S64" s="182">
        <f>SUMIFS($E$20:$E$49,$C$20:$C$49,$C64,'CBA Inputs'!$H$20:$H$49,"&lt;="&amp;S$52,$J$20:$J$49,"&gt;="&amp;S$52)*0.01+SUMIFS($O$20:$O$49,$M$20:$M$49,$C64,'CBA Inputs'!$R$20:$R$49,"&lt;="&amp;S$52,$U$20:$U$49,"&gt;="&amp;S$52,$T$20:$T$49,Scenario_Select)*0.01</f>
        <v>13310000</v>
      </c>
      <c r="T64" s="182">
        <f>SUMIFS($E$20:$E$49,$C$20:$C$49,$C64,'CBA Inputs'!$H$20:$H$49,"&lt;="&amp;T$52,$J$20:$J$49,"&gt;="&amp;T$52)*0.01+SUMIFS($O$20:$O$49,$M$20:$M$49,$C64,'CBA Inputs'!$R$20:$R$49,"&lt;="&amp;T$52,$U$20:$U$49,"&gt;="&amp;T$52,$T$20:$T$49,Scenario_Select)*0.01</f>
        <v>13310000</v>
      </c>
      <c r="U64" s="182">
        <f>SUMIFS($E$20:$E$49,$C$20:$C$49,$C64,'CBA Inputs'!$H$20:$H$49,"&lt;="&amp;U$52,$J$20:$J$49,"&gt;="&amp;U$52)*0.01+SUMIFS($O$20:$O$49,$M$20:$M$49,$C64,'CBA Inputs'!$R$20:$R$49,"&lt;="&amp;U$52,$U$20:$U$49,"&gt;="&amp;U$52,$T$20:$T$49,Scenario_Select)*0.01</f>
        <v>13310000</v>
      </c>
      <c r="V64" s="182">
        <f>SUMIFS($E$20:$E$49,$C$20:$C$49,$C64,'CBA Inputs'!$H$20:$H$49,"&lt;="&amp;V$52,$J$20:$J$49,"&gt;="&amp;V$52)*0.01+SUMIFS($O$20:$O$49,$M$20:$M$49,$C64,'CBA Inputs'!$R$20:$R$49,"&lt;="&amp;V$52,$U$20:$U$49,"&gt;="&amp;V$52,$T$20:$T$49,Scenario_Select)*0.01</f>
        <v>13310000</v>
      </c>
      <c r="W64" s="182">
        <f>SUMIFS($E$20:$E$49,$C$20:$C$49,$C64,'CBA Inputs'!$H$20:$H$49,"&lt;="&amp;W$52,$J$20:$J$49,"&gt;="&amp;W$52)*0.01+SUMIFS($O$20:$O$49,$M$20:$M$49,$C64,'CBA Inputs'!$R$20:$R$49,"&lt;="&amp;W$52,$U$20:$U$49,"&gt;="&amp;W$52,$T$20:$T$49,Scenario_Select)*0.01</f>
        <v>13310000</v>
      </c>
      <c r="X64" s="182">
        <f>SUMIFS($E$20:$E$49,$C$20:$C$49,$C64,'CBA Inputs'!$H$20:$H$49,"&lt;="&amp;X$52,$J$20:$J$49,"&gt;="&amp;X$52)*0.01+SUMIFS($O$20:$O$49,$M$20:$M$49,$C64,'CBA Inputs'!$R$20:$R$49,"&lt;="&amp;X$52,$U$20:$U$49,"&gt;="&amp;X$52,$T$20:$T$49,Scenario_Select)*0.01</f>
        <v>13310000</v>
      </c>
      <c r="Y64" s="182">
        <f>SUMIFS($E$20:$E$49,$C$20:$C$49,$C64,'CBA Inputs'!$H$20:$H$49,"&lt;="&amp;Y$52,$J$20:$J$49,"&gt;="&amp;Y$52)*0.01+SUMIFS($O$20:$O$49,$M$20:$M$49,$C64,'CBA Inputs'!$R$20:$R$49,"&lt;="&amp;Y$52,$U$20:$U$49,"&gt;="&amp;Y$52,$T$20:$T$49,Scenario_Select)*0.01</f>
        <v>13310000</v>
      </c>
      <c r="Z64" s="182">
        <f>SUMIFS($E$20:$E$49,$C$20:$C$49,$C64,'CBA Inputs'!$H$20:$H$49,"&lt;="&amp;Z$52,$J$20:$J$49,"&gt;="&amp;Z$52)*0.01+SUMIFS($O$20:$O$49,$M$20:$M$49,$C64,'CBA Inputs'!$R$20:$R$49,"&lt;="&amp;Z$52,$U$20:$U$49,"&gt;="&amp;Z$52,$T$20:$T$49,Scenario_Select)*0.01</f>
        <v>13310000</v>
      </c>
      <c r="AA64" s="182">
        <f>SUMIFS($E$20:$E$49,$C$20:$C$49,$C64,'CBA Inputs'!$H$20:$H$49,"&lt;="&amp;AA$52,$J$20:$J$49,"&gt;="&amp;AA$52)*0.01+SUMIFS($O$20:$O$49,$M$20:$M$49,$C64,'CBA Inputs'!$R$20:$R$49,"&lt;="&amp;AA$52,$U$20:$U$49,"&gt;="&amp;AA$52,$T$20:$T$49,Scenario_Select)*0.01</f>
        <v>13310000</v>
      </c>
      <c r="AB64" s="182">
        <f>SUMIFS($E$20:$E$49,$C$20:$C$49,$C64,'CBA Inputs'!$H$20:$H$49,"&lt;="&amp;AB$52,$J$20:$J$49,"&gt;="&amp;AB$52)*0.01+SUMIFS($O$20:$O$49,$M$20:$M$49,$C64,'CBA Inputs'!$R$20:$R$49,"&lt;="&amp;AB$52,$U$20:$U$49,"&gt;="&amp;AB$52,$T$20:$T$49,Scenario_Select)*0.01</f>
        <v>13310000</v>
      </c>
      <c r="AC64" s="182">
        <f>SUMIFS($E$20:$E$49,$C$20:$C$49,$C64,'CBA Inputs'!$H$20:$H$49,"&lt;="&amp;AC$52,$J$20:$J$49,"&gt;="&amp;AC$52)*0.01+SUMIFS($O$20:$O$49,$M$20:$M$49,$C64,'CBA Inputs'!$R$20:$R$49,"&lt;="&amp;AC$52,$U$20:$U$49,"&gt;="&amp;AC$52,$T$20:$T$49,Scenario_Select)*0.01</f>
        <v>13310000</v>
      </c>
      <c r="AD64" s="182">
        <f>SUMIFS($E$20:$E$49,$C$20:$C$49,$C64,'CBA Inputs'!$H$20:$H$49,"&lt;="&amp;AD$52,$J$20:$J$49,"&gt;="&amp;AD$52)*0.01+SUMIFS($O$20:$O$49,$M$20:$M$49,$C64,'CBA Inputs'!$R$20:$R$49,"&lt;="&amp;AD$52,$U$20:$U$49,"&gt;="&amp;AD$52,$T$20:$T$49,Scenario_Select)*0.01</f>
        <v>13310000</v>
      </c>
      <c r="AE64" s="182">
        <f>SUMIFS($E$20:$E$49,$C$20:$C$49,$C64,'CBA Inputs'!$H$20:$H$49,"&lt;="&amp;AE$52,$J$20:$J$49,"&gt;="&amp;AE$52)*0.01+SUMIFS($O$20:$O$49,$M$20:$M$49,$C64,'CBA Inputs'!$R$20:$R$49,"&lt;="&amp;AE$52,$U$20:$U$49,"&gt;="&amp;AE$52,$T$20:$T$49,Scenario_Select)*0.01</f>
        <v>13310000</v>
      </c>
      <c r="AF64" s="182">
        <f>SUMIFS($E$20:$E$49,$C$20:$C$49,$C64,'CBA Inputs'!$H$20:$H$49,"&lt;="&amp;AF$52,$J$20:$J$49,"&gt;="&amp;AF$52)*0.01+SUMIFS($O$20:$O$49,$M$20:$M$49,$C64,'CBA Inputs'!$R$20:$R$49,"&lt;="&amp;AF$52,$U$20:$U$49,"&gt;="&amp;AF$52,$T$20:$T$49,Scenario_Select)*0.01</f>
        <v>13310000</v>
      </c>
      <c r="AG64" s="182">
        <f>SUMIFS($E$20:$E$49,$C$20:$C$49,$C64,'CBA Inputs'!$H$20:$H$49,"&lt;="&amp;AG$52,$J$20:$J$49,"&gt;="&amp;AG$52)*0.01+SUMIFS($O$20:$O$49,$M$20:$M$49,$C64,'CBA Inputs'!$R$20:$R$49,"&lt;="&amp;AG$52,$U$20:$U$49,"&gt;="&amp;AG$52,$T$20:$T$49,Scenario_Select)*0.01</f>
        <v>13310000</v>
      </c>
      <c r="AH64" s="182">
        <f>SUMIFS($E$20:$E$49,$C$20:$C$49,$C64,'CBA Inputs'!$H$20:$H$49,"&lt;="&amp;AH$52,$J$20:$J$49,"&gt;="&amp;AH$52)*0.01+SUMIFS($O$20:$O$49,$M$20:$M$49,$C64,'CBA Inputs'!$R$20:$R$49,"&lt;="&amp;AH$52,$U$20:$U$49,"&gt;="&amp;AH$52,$T$20:$T$49,Scenario_Select)*0.01</f>
        <v>13310000</v>
      </c>
      <c r="AI64" s="182">
        <f>SUMIFS($E$20:$E$49,$C$20:$C$49,$C64,'CBA Inputs'!$H$20:$H$49,"&lt;="&amp;AI$52,$J$20:$J$49,"&gt;="&amp;AI$52)*0.01+SUMIFS($O$20:$O$49,$M$20:$M$49,$C64,'CBA Inputs'!$R$20:$R$49,"&lt;="&amp;AI$52,$U$20:$U$49,"&gt;="&amp;AI$52,$T$20:$T$49,Scenario_Select)*0.01</f>
        <v>13310000</v>
      </c>
      <c r="AK64" s="187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</row>
    <row r="65" spans="1:65" x14ac:dyDescent="0.35">
      <c r="B65" s="64">
        <f>+'Option inputs'!$B$25</f>
        <v>11</v>
      </c>
      <c r="C65" s="122" t="str">
        <f>'Option inputs'!$C$25</f>
        <v>Option 4B</v>
      </c>
      <c r="D65" s="62"/>
      <c r="E65" s="68" t="s">
        <v>35</v>
      </c>
      <c r="F65" s="182">
        <f>SUMIFS($E$20:$E$49,$C$20:$C$49,$C65,'CBA Inputs'!$H$20:$H$49,"&lt;="&amp;F$52,$J$20:$J$49,"&gt;="&amp;F$52)*0.01+SUMIFS($O$20:$O$49,$M$20:$M$49,$C65,'CBA Inputs'!$R$20:$R$49,"&lt;="&amp;F$52,$U$20:$U$49,"&gt;="&amp;F$52,$T$20:$T$49,Scenario_Select)*0.01</f>
        <v>0</v>
      </c>
      <c r="G65" s="182">
        <f>SUMIFS($E$20:$E$49,$C$20:$C$49,$C65,'CBA Inputs'!$H$20:$H$49,"&lt;="&amp;G$52,$J$20:$J$49,"&gt;="&amp;G$52)*0.01+SUMIFS($O$20:$O$49,$M$20:$M$49,$C65,'CBA Inputs'!$R$20:$R$49,"&lt;="&amp;G$52,$U$20:$U$49,"&gt;="&amp;G$52,$T$20:$T$49,Scenario_Select)*0.01</f>
        <v>0</v>
      </c>
      <c r="H65" s="182">
        <f>SUMIFS($E$20:$E$49,$C$20:$C$49,$C65,'CBA Inputs'!$H$20:$H$49,"&lt;="&amp;H$52,$J$20:$J$49,"&gt;="&amp;H$52)*0.01+SUMIFS($O$20:$O$49,$M$20:$M$49,$C65,'CBA Inputs'!$R$20:$R$49,"&lt;="&amp;H$52,$U$20:$U$49,"&gt;="&amp;H$52,$T$20:$T$49,Scenario_Select)*0.01</f>
        <v>0</v>
      </c>
      <c r="I65" s="182">
        <f>SUMIFS($E$20:$E$49,$C$20:$C$49,$C65,'CBA Inputs'!$H$20:$H$49,"&lt;="&amp;I$52,$J$20:$J$49,"&gt;="&amp;I$52)*0.01+SUMIFS($O$20:$O$49,$M$20:$M$49,$C65,'CBA Inputs'!$R$20:$R$49,"&lt;="&amp;I$52,$U$20:$U$49,"&gt;="&amp;I$52,$T$20:$T$49,Scenario_Select)*0.01</f>
        <v>0</v>
      </c>
      <c r="J65" s="182">
        <f>SUMIFS($E$20:$E$49,$C$20:$C$49,$C65,'CBA Inputs'!$H$20:$H$49,"&lt;="&amp;J$52,$J$20:$J$49,"&gt;="&amp;J$52)*0.01+SUMIFS($O$20:$O$49,$M$20:$M$49,$C65,'CBA Inputs'!$R$20:$R$49,"&lt;="&amp;J$52,$U$20:$U$49,"&gt;="&amp;J$52,$T$20:$T$49,Scenario_Select)*0.01</f>
        <v>0</v>
      </c>
      <c r="K65" s="182">
        <f>SUMIFS($E$20:$E$49,$C$20:$C$49,$C65,'CBA Inputs'!$H$20:$H$49,"&lt;="&amp;K$52,$J$20:$J$49,"&gt;="&amp;K$52)*0.01+SUMIFS($O$20:$O$49,$M$20:$M$49,$C65,'CBA Inputs'!$R$20:$R$49,"&lt;="&amp;K$52,$U$20:$U$49,"&gt;="&amp;K$52,$T$20:$T$49,Scenario_Select)*0.01</f>
        <v>12220000</v>
      </c>
      <c r="L65" s="182">
        <f>SUMIFS($E$20:$E$49,$C$20:$C$49,$C65,'CBA Inputs'!$H$20:$H$49,"&lt;="&amp;L$52,$J$20:$J$49,"&gt;="&amp;L$52)*0.01+SUMIFS($O$20:$O$49,$M$20:$M$49,$C65,'CBA Inputs'!$R$20:$R$49,"&lt;="&amp;L$52,$U$20:$U$49,"&gt;="&amp;L$52,$T$20:$T$49,Scenario_Select)*0.01</f>
        <v>15740000</v>
      </c>
      <c r="M65" s="182">
        <f>SUMIFS($E$20:$E$49,$C$20:$C$49,$C65,'CBA Inputs'!$H$20:$H$49,"&lt;="&amp;M$52,$J$20:$J$49,"&gt;="&amp;M$52)*0.01+SUMIFS($O$20:$O$49,$M$20:$M$49,$C65,'CBA Inputs'!$R$20:$R$49,"&lt;="&amp;M$52,$U$20:$U$49,"&gt;="&amp;M$52,$T$20:$T$49,Scenario_Select)*0.01</f>
        <v>15740000</v>
      </c>
      <c r="N65" s="182">
        <f>SUMIFS($E$20:$E$49,$C$20:$C$49,$C65,'CBA Inputs'!$H$20:$H$49,"&lt;="&amp;N$52,$J$20:$J$49,"&gt;="&amp;N$52)*0.01+SUMIFS($O$20:$O$49,$M$20:$M$49,$C65,'CBA Inputs'!$R$20:$R$49,"&lt;="&amp;N$52,$U$20:$U$49,"&gt;="&amp;N$52,$T$20:$T$49,Scenario_Select)*0.01</f>
        <v>15740000</v>
      </c>
      <c r="O65" s="182">
        <f>SUMIFS($E$20:$E$49,$C$20:$C$49,$C65,'CBA Inputs'!$H$20:$H$49,"&lt;="&amp;O$52,$J$20:$J$49,"&gt;="&amp;O$52)*0.01+SUMIFS($O$20:$O$49,$M$20:$M$49,$C65,'CBA Inputs'!$R$20:$R$49,"&lt;="&amp;O$52,$U$20:$U$49,"&gt;="&amp;O$52,$T$20:$T$49,Scenario_Select)*0.01</f>
        <v>15740000</v>
      </c>
      <c r="P65" s="182">
        <f>SUMIFS($E$20:$E$49,$C$20:$C$49,$C65,'CBA Inputs'!$H$20:$H$49,"&lt;="&amp;P$52,$J$20:$J$49,"&gt;="&amp;P$52)*0.01+SUMIFS($O$20:$O$49,$M$20:$M$49,$C65,'CBA Inputs'!$R$20:$R$49,"&lt;="&amp;P$52,$U$20:$U$49,"&gt;="&amp;P$52,$T$20:$T$49,Scenario_Select)*0.01</f>
        <v>19170000</v>
      </c>
      <c r="Q65" s="182">
        <f>SUMIFS($E$20:$E$49,$C$20:$C$49,$C65,'CBA Inputs'!$H$20:$H$49,"&lt;="&amp;Q$52,$J$20:$J$49,"&gt;="&amp;Q$52)*0.01+SUMIFS($O$20:$O$49,$M$20:$M$49,$C65,'CBA Inputs'!$R$20:$R$49,"&lt;="&amp;Q$52,$U$20:$U$49,"&gt;="&amp;Q$52,$T$20:$T$49,Scenario_Select)*0.01</f>
        <v>19170000</v>
      </c>
      <c r="R65" s="182">
        <f>SUMIFS($E$20:$E$49,$C$20:$C$49,$C65,'CBA Inputs'!$H$20:$H$49,"&lt;="&amp;R$52,$J$20:$J$49,"&gt;="&amp;R$52)*0.01+SUMIFS($O$20:$O$49,$M$20:$M$49,$C65,'CBA Inputs'!$R$20:$R$49,"&lt;="&amp;R$52,$U$20:$U$49,"&gt;="&amp;R$52,$T$20:$T$49,Scenario_Select)*0.01</f>
        <v>19170000</v>
      </c>
      <c r="S65" s="182">
        <f>SUMIFS($E$20:$E$49,$C$20:$C$49,$C65,'CBA Inputs'!$H$20:$H$49,"&lt;="&amp;S$52,$J$20:$J$49,"&gt;="&amp;S$52)*0.01+SUMIFS($O$20:$O$49,$M$20:$M$49,$C65,'CBA Inputs'!$R$20:$R$49,"&lt;="&amp;S$52,$U$20:$U$49,"&gt;="&amp;S$52,$T$20:$T$49,Scenario_Select)*0.01</f>
        <v>19170000</v>
      </c>
      <c r="T65" s="182">
        <f>SUMIFS($E$20:$E$49,$C$20:$C$49,$C65,'CBA Inputs'!$H$20:$H$49,"&lt;="&amp;T$52,$J$20:$J$49,"&gt;="&amp;T$52)*0.01+SUMIFS($O$20:$O$49,$M$20:$M$49,$C65,'CBA Inputs'!$R$20:$R$49,"&lt;="&amp;T$52,$U$20:$U$49,"&gt;="&amp;T$52,$T$20:$T$49,Scenario_Select)*0.01</f>
        <v>19170000</v>
      </c>
      <c r="U65" s="182">
        <f>SUMIFS($E$20:$E$49,$C$20:$C$49,$C65,'CBA Inputs'!$H$20:$H$49,"&lt;="&amp;U$52,$J$20:$J$49,"&gt;="&amp;U$52)*0.01+SUMIFS($O$20:$O$49,$M$20:$M$49,$C65,'CBA Inputs'!$R$20:$R$49,"&lt;="&amp;U$52,$U$20:$U$49,"&gt;="&amp;U$52,$T$20:$T$49,Scenario_Select)*0.01</f>
        <v>19170000</v>
      </c>
      <c r="V65" s="182">
        <f>SUMIFS($E$20:$E$49,$C$20:$C$49,$C65,'CBA Inputs'!$H$20:$H$49,"&lt;="&amp;V$52,$J$20:$J$49,"&gt;="&amp;V$52)*0.01+SUMIFS($O$20:$O$49,$M$20:$M$49,$C65,'CBA Inputs'!$R$20:$R$49,"&lt;="&amp;V$52,$U$20:$U$49,"&gt;="&amp;V$52,$T$20:$T$49,Scenario_Select)*0.01</f>
        <v>19170000</v>
      </c>
      <c r="W65" s="182">
        <f>SUMIFS($E$20:$E$49,$C$20:$C$49,$C65,'CBA Inputs'!$H$20:$H$49,"&lt;="&amp;W$52,$J$20:$J$49,"&gt;="&amp;W$52)*0.01+SUMIFS($O$20:$O$49,$M$20:$M$49,$C65,'CBA Inputs'!$R$20:$R$49,"&lt;="&amp;W$52,$U$20:$U$49,"&gt;="&amp;W$52,$T$20:$T$49,Scenario_Select)*0.01</f>
        <v>19170000</v>
      </c>
      <c r="X65" s="182">
        <f>SUMIFS($E$20:$E$49,$C$20:$C$49,$C65,'CBA Inputs'!$H$20:$H$49,"&lt;="&amp;X$52,$J$20:$J$49,"&gt;="&amp;X$52)*0.01+SUMIFS($O$20:$O$49,$M$20:$M$49,$C65,'CBA Inputs'!$R$20:$R$49,"&lt;="&amp;X$52,$U$20:$U$49,"&gt;="&amp;X$52,$T$20:$T$49,Scenario_Select)*0.01</f>
        <v>19170000</v>
      </c>
      <c r="Y65" s="182">
        <f>SUMIFS($E$20:$E$49,$C$20:$C$49,$C65,'CBA Inputs'!$H$20:$H$49,"&lt;="&amp;Y$52,$J$20:$J$49,"&gt;="&amp;Y$52)*0.01+SUMIFS($O$20:$O$49,$M$20:$M$49,$C65,'CBA Inputs'!$R$20:$R$49,"&lt;="&amp;Y$52,$U$20:$U$49,"&gt;="&amp;Y$52,$T$20:$T$49,Scenario_Select)*0.01</f>
        <v>19170000</v>
      </c>
      <c r="Z65" s="182">
        <f>SUMIFS($E$20:$E$49,$C$20:$C$49,$C65,'CBA Inputs'!$H$20:$H$49,"&lt;="&amp;Z$52,$J$20:$J$49,"&gt;="&amp;Z$52)*0.01+SUMIFS($O$20:$O$49,$M$20:$M$49,$C65,'CBA Inputs'!$R$20:$R$49,"&lt;="&amp;Z$52,$U$20:$U$49,"&gt;="&amp;Z$52,$T$20:$T$49,Scenario_Select)*0.01</f>
        <v>19170000</v>
      </c>
      <c r="AA65" s="182">
        <f>SUMIFS($E$20:$E$49,$C$20:$C$49,$C65,'CBA Inputs'!$H$20:$H$49,"&lt;="&amp;AA$52,$J$20:$J$49,"&gt;="&amp;AA$52)*0.01+SUMIFS($O$20:$O$49,$M$20:$M$49,$C65,'CBA Inputs'!$R$20:$R$49,"&lt;="&amp;AA$52,$U$20:$U$49,"&gt;="&amp;AA$52,$T$20:$T$49,Scenario_Select)*0.01</f>
        <v>19170000</v>
      </c>
      <c r="AB65" s="182">
        <f>SUMIFS($E$20:$E$49,$C$20:$C$49,$C65,'CBA Inputs'!$H$20:$H$49,"&lt;="&amp;AB$52,$J$20:$J$49,"&gt;="&amp;AB$52)*0.01+SUMIFS($O$20:$O$49,$M$20:$M$49,$C65,'CBA Inputs'!$R$20:$R$49,"&lt;="&amp;AB$52,$U$20:$U$49,"&gt;="&amp;AB$52,$T$20:$T$49,Scenario_Select)*0.01</f>
        <v>19170000</v>
      </c>
      <c r="AC65" s="182">
        <f>SUMIFS($E$20:$E$49,$C$20:$C$49,$C65,'CBA Inputs'!$H$20:$H$49,"&lt;="&amp;AC$52,$J$20:$J$49,"&gt;="&amp;AC$52)*0.01+SUMIFS($O$20:$O$49,$M$20:$M$49,$C65,'CBA Inputs'!$R$20:$R$49,"&lt;="&amp;AC$52,$U$20:$U$49,"&gt;="&amp;AC$52,$T$20:$T$49,Scenario_Select)*0.01</f>
        <v>19170000</v>
      </c>
      <c r="AD65" s="182">
        <f>SUMIFS($E$20:$E$49,$C$20:$C$49,$C65,'CBA Inputs'!$H$20:$H$49,"&lt;="&amp;AD$52,$J$20:$J$49,"&gt;="&amp;AD$52)*0.01+SUMIFS($O$20:$O$49,$M$20:$M$49,$C65,'CBA Inputs'!$R$20:$R$49,"&lt;="&amp;AD$52,$U$20:$U$49,"&gt;="&amp;AD$52,$T$20:$T$49,Scenario_Select)*0.01</f>
        <v>19170000</v>
      </c>
      <c r="AE65" s="182">
        <f>SUMIFS($E$20:$E$49,$C$20:$C$49,$C65,'CBA Inputs'!$H$20:$H$49,"&lt;="&amp;AE$52,$J$20:$J$49,"&gt;="&amp;AE$52)*0.01+SUMIFS($O$20:$O$49,$M$20:$M$49,$C65,'CBA Inputs'!$R$20:$R$49,"&lt;="&amp;AE$52,$U$20:$U$49,"&gt;="&amp;AE$52,$T$20:$T$49,Scenario_Select)*0.01</f>
        <v>19170000</v>
      </c>
      <c r="AF65" s="182">
        <f>SUMIFS($E$20:$E$49,$C$20:$C$49,$C65,'CBA Inputs'!$H$20:$H$49,"&lt;="&amp;AF$52,$J$20:$J$49,"&gt;="&amp;AF$52)*0.01+SUMIFS($O$20:$O$49,$M$20:$M$49,$C65,'CBA Inputs'!$R$20:$R$49,"&lt;="&amp;AF$52,$U$20:$U$49,"&gt;="&amp;AF$52,$T$20:$T$49,Scenario_Select)*0.01</f>
        <v>19170000</v>
      </c>
      <c r="AG65" s="182">
        <f>SUMIFS($E$20:$E$49,$C$20:$C$49,$C65,'CBA Inputs'!$H$20:$H$49,"&lt;="&amp;AG$52,$J$20:$J$49,"&gt;="&amp;AG$52)*0.01+SUMIFS($O$20:$O$49,$M$20:$M$49,$C65,'CBA Inputs'!$R$20:$R$49,"&lt;="&amp;AG$52,$U$20:$U$49,"&gt;="&amp;AG$52,$T$20:$T$49,Scenario_Select)*0.01</f>
        <v>19170000</v>
      </c>
      <c r="AH65" s="182">
        <f>SUMIFS($E$20:$E$49,$C$20:$C$49,$C65,'CBA Inputs'!$H$20:$H$49,"&lt;="&amp;AH$52,$J$20:$J$49,"&gt;="&amp;AH$52)*0.01+SUMIFS($O$20:$O$49,$M$20:$M$49,$C65,'CBA Inputs'!$R$20:$R$49,"&lt;="&amp;AH$52,$U$20:$U$49,"&gt;="&amp;AH$52,$T$20:$T$49,Scenario_Select)*0.01</f>
        <v>19170000</v>
      </c>
      <c r="AI65" s="182">
        <f>SUMIFS($E$20:$E$49,$C$20:$C$49,$C65,'CBA Inputs'!$H$20:$H$49,"&lt;="&amp;AI$52,$J$20:$J$49,"&gt;="&amp;AI$52)*0.01+SUMIFS($O$20:$O$49,$M$20:$M$49,$C65,'CBA Inputs'!$R$20:$R$49,"&lt;="&amp;AI$52,$U$20:$U$49,"&gt;="&amp;AI$52,$T$20:$T$49,Scenario_Select)*0.01</f>
        <v>19170000</v>
      </c>
      <c r="AK65" s="187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</row>
    <row r="66" spans="1:65" x14ac:dyDescent="0.35">
      <c r="B66" s="64">
        <f>+'Option inputs'!$B$26</f>
        <v>12</v>
      </c>
      <c r="C66" s="122" t="str">
        <f>'Option inputs'!$C$26</f>
        <v>Option 4C</v>
      </c>
      <c r="D66" s="62"/>
      <c r="E66" s="68" t="s">
        <v>35</v>
      </c>
      <c r="F66" s="182">
        <f>SUMIFS($E$20:$E$49,$C$20:$C$49,$C66,'CBA Inputs'!$H$20:$H$49,"&lt;="&amp;F$52,$J$20:$J$49,"&gt;="&amp;F$52)*0.01+SUMIFS($O$20:$O$49,$M$20:$M$49,$C66,'CBA Inputs'!$R$20:$R$49,"&lt;="&amp;F$52,$U$20:$U$49,"&gt;="&amp;F$52,$T$20:$T$49,Scenario_Select)*0.01</f>
        <v>0</v>
      </c>
      <c r="G66" s="182">
        <f>SUMIFS($E$20:$E$49,$C$20:$C$49,$C66,'CBA Inputs'!$H$20:$H$49,"&lt;="&amp;G$52,$J$20:$J$49,"&gt;="&amp;G$52)*0.01+SUMIFS($O$20:$O$49,$M$20:$M$49,$C66,'CBA Inputs'!$R$20:$R$49,"&lt;="&amp;G$52,$U$20:$U$49,"&gt;="&amp;G$52,$T$20:$T$49,Scenario_Select)*0.01</f>
        <v>0</v>
      </c>
      <c r="H66" s="182">
        <f>SUMIFS($E$20:$E$49,$C$20:$C$49,$C66,'CBA Inputs'!$H$20:$H$49,"&lt;="&amp;H$52,$J$20:$J$49,"&gt;="&amp;H$52)*0.01+SUMIFS($O$20:$O$49,$M$20:$M$49,$C66,'CBA Inputs'!$R$20:$R$49,"&lt;="&amp;H$52,$U$20:$U$49,"&gt;="&amp;H$52,$T$20:$T$49,Scenario_Select)*0.01</f>
        <v>0</v>
      </c>
      <c r="I66" s="182">
        <f>SUMIFS($E$20:$E$49,$C$20:$C$49,$C66,'CBA Inputs'!$H$20:$H$49,"&lt;="&amp;I$52,$J$20:$J$49,"&gt;="&amp;I$52)*0.01+SUMIFS($O$20:$O$49,$M$20:$M$49,$C66,'CBA Inputs'!$R$20:$R$49,"&lt;="&amp;I$52,$U$20:$U$49,"&gt;="&amp;I$52,$T$20:$T$49,Scenario_Select)*0.01</f>
        <v>0</v>
      </c>
      <c r="J66" s="182">
        <f>SUMIFS($E$20:$E$49,$C$20:$C$49,$C66,'CBA Inputs'!$H$20:$H$49,"&lt;="&amp;J$52,$J$20:$J$49,"&gt;="&amp;J$52)*0.01+SUMIFS($O$20:$O$49,$M$20:$M$49,$C66,'CBA Inputs'!$R$20:$R$49,"&lt;="&amp;J$52,$U$20:$U$49,"&gt;="&amp;J$52,$T$20:$T$49,Scenario_Select)*0.01</f>
        <v>0</v>
      </c>
      <c r="K66" s="182">
        <f>SUMIFS($E$20:$E$49,$C$20:$C$49,$C66,'CBA Inputs'!$H$20:$H$49,"&lt;="&amp;K$52,$J$20:$J$49,"&gt;="&amp;K$52)*0.01+SUMIFS($O$20:$O$49,$M$20:$M$49,$C66,'CBA Inputs'!$R$20:$R$49,"&lt;="&amp;K$52,$U$20:$U$49,"&gt;="&amp;K$52,$T$20:$T$49,Scenario_Select)*0.01</f>
        <v>13550000</v>
      </c>
      <c r="L66" s="182">
        <f>SUMIFS($E$20:$E$49,$C$20:$C$49,$C66,'CBA Inputs'!$H$20:$H$49,"&lt;="&amp;L$52,$J$20:$J$49,"&gt;="&amp;L$52)*0.01+SUMIFS($O$20:$O$49,$M$20:$M$49,$C66,'CBA Inputs'!$R$20:$R$49,"&lt;="&amp;L$52,$U$20:$U$49,"&gt;="&amp;L$52,$T$20:$T$49,Scenario_Select)*0.01</f>
        <v>18910000</v>
      </c>
      <c r="M66" s="182">
        <f>SUMIFS($E$20:$E$49,$C$20:$C$49,$C66,'CBA Inputs'!$H$20:$H$49,"&lt;="&amp;M$52,$J$20:$J$49,"&gt;="&amp;M$52)*0.01+SUMIFS($O$20:$O$49,$M$20:$M$49,$C66,'CBA Inputs'!$R$20:$R$49,"&lt;="&amp;M$52,$U$20:$U$49,"&gt;="&amp;M$52,$T$20:$T$49,Scenario_Select)*0.01</f>
        <v>18910000</v>
      </c>
      <c r="N66" s="182">
        <f>SUMIFS($E$20:$E$49,$C$20:$C$49,$C66,'CBA Inputs'!$H$20:$H$49,"&lt;="&amp;N$52,$J$20:$J$49,"&gt;="&amp;N$52)*0.01+SUMIFS($O$20:$O$49,$M$20:$M$49,$C66,'CBA Inputs'!$R$20:$R$49,"&lt;="&amp;N$52,$U$20:$U$49,"&gt;="&amp;N$52,$T$20:$T$49,Scenario_Select)*0.01</f>
        <v>18910000</v>
      </c>
      <c r="O66" s="182">
        <f>SUMIFS($E$20:$E$49,$C$20:$C$49,$C66,'CBA Inputs'!$H$20:$H$49,"&lt;="&amp;O$52,$J$20:$J$49,"&gt;="&amp;O$52)*0.01+SUMIFS($O$20:$O$49,$M$20:$M$49,$C66,'CBA Inputs'!$R$20:$R$49,"&lt;="&amp;O$52,$U$20:$U$49,"&gt;="&amp;O$52,$T$20:$T$49,Scenario_Select)*0.01</f>
        <v>18910000</v>
      </c>
      <c r="P66" s="182">
        <f>SUMIFS($E$20:$E$49,$C$20:$C$49,$C66,'CBA Inputs'!$H$20:$H$49,"&lt;="&amp;P$52,$J$20:$J$49,"&gt;="&amp;P$52)*0.01+SUMIFS($O$20:$O$49,$M$20:$M$49,$C66,'CBA Inputs'!$R$20:$R$49,"&lt;="&amp;P$52,$U$20:$U$49,"&gt;="&amp;P$52,$T$20:$T$49,Scenario_Select)*0.01</f>
        <v>18910000</v>
      </c>
      <c r="Q66" s="182">
        <f>SUMIFS($E$20:$E$49,$C$20:$C$49,$C66,'CBA Inputs'!$H$20:$H$49,"&lt;="&amp;Q$52,$J$20:$J$49,"&gt;="&amp;Q$52)*0.01+SUMIFS($O$20:$O$49,$M$20:$M$49,$C66,'CBA Inputs'!$R$20:$R$49,"&lt;="&amp;Q$52,$U$20:$U$49,"&gt;="&amp;Q$52,$T$20:$T$49,Scenario_Select)*0.01</f>
        <v>18910000</v>
      </c>
      <c r="R66" s="182">
        <f>SUMIFS($E$20:$E$49,$C$20:$C$49,$C66,'CBA Inputs'!$H$20:$H$49,"&lt;="&amp;R$52,$J$20:$J$49,"&gt;="&amp;R$52)*0.01+SUMIFS($O$20:$O$49,$M$20:$M$49,$C66,'CBA Inputs'!$R$20:$R$49,"&lt;="&amp;R$52,$U$20:$U$49,"&gt;="&amp;R$52,$T$20:$T$49,Scenario_Select)*0.01</f>
        <v>18910000</v>
      </c>
      <c r="S66" s="182">
        <f>SUMIFS($E$20:$E$49,$C$20:$C$49,$C66,'CBA Inputs'!$H$20:$H$49,"&lt;="&amp;S$52,$J$20:$J$49,"&gt;="&amp;S$52)*0.01+SUMIFS($O$20:$O$49,$M$20:$M$49,$C66,'CBA Inputs'!$R$20:$R$49,"&lt;="&amp;S$52,$U$20:$U$49,"&gt;="&amp;S$52,$T$20:$T$49,Scenario_Select)*0.01</f>
        <v>18910000</v>
      </c>
      <c r="T66" s="182">
        <f>SUMIFS($E$20:$E$49,$C$20:$C$49,$C66,'CBA Inputs'!$H$20:$H$49,"&lt;="&amp;T$52,$J$20:$J$49,"&gt;="&amp;T$52)*0.01+SUMIFS($O$20:$O$49,$M$20:$M$49,$C66,'CBA Inputs'!$R$20:$R$49,"&lt;="&amp;T$52,$U$20:$U$49,"&gt;="&amp;T$52,$T$20:$T$49,Scenario_Select)*0.01</f>
        <v>18910000</v>
      </c>
      <c r="U66" s="182">
        <f>SUMIFS($E$20:$E$49,$C$20:$C$49,$C66,'CBA Inputs'!$H$20:$H$49,"&lt;="&amp;U$52,$J$20:$J$49,"&gt;="&amp;U$52)*0.01+SUMIFS($O$20:$O$49,$M$20:$M$49,$C66,'CBA Inputs'!$R$20:$R$49,"&lt;="&amp;U$52,$U$20:$U$49,"&gt;="&amp;U$52,$T$20:$T$49,Scenario_Select)*0.01</f>
        <v>18910000</v>
      </c>
      <c r="V66" s="182">
        <f>SUMIFS($E$20:$E$49,$C$20:$C$49,$C66,'CBA Inputs'!$H$20:$H$49,"&lt;="&amp;V$52,$J$20:$J$49,"&gt;="&amp;V$52)*0.01+SUMIFS($O$20:$O$49,$M$20:$M$49,$C66,'CBA Inputs'!$R$20:$R$49,"&lt;="&amp;V$52,$U$20:$U$49,"&gt;="&amp;V$52,$T$20:$T$49,Scenario_Select)*0.01</f>
        <v>18910000</v>
      </c>
      <c r="W66" s="182">
        <f>SUMIFS($E$20:$E$49,$C$20:$C$49,$C66,'CBA Inputs'!$H$20:$H$49,"&lt;="&amp;W$52,$J$20:$J$49,"&gt;="&amp;W$52)*0.01+SUMIFS($O$20:$O$49,$M$20:$M$49,$C66,'CBA Inputs'!$R$20:$R$49,"&lt;="&amp;W$52,$U$20:$U$49,"&gt;="&amp;W$52,$T$20:$T$49,Scenario_Select)*0.01</f>
        <v>18910000</v>
      </c>
      <c r="X66" s="182">
        <f>SUMIFS($E$20:$E$49,$C$20:$C$49,$C66,'CBA Inputs'!$H$20:$H$49,"&lt;="&amp;X$52,$J$20:$J$49,"&gt;="&amp;X$52)*0.01+SUMIFS($O$20:$O$49,$M$20:$M$49,$C66,'CBA Inputs'!$R$20:$R$49,"&lt;="&amp;X$52,$U$20:$U$49,"&gt;="&amp;X$52,$T$20:$T$49,Scenario_Select)*0.01</f>
        <v>18910000</v>
      </c>
      <c r="Y66" s="182">
        <f>SUMIFS($E$20:$E$49,$C$20:$C$49,$C66,'CBA Inputs'!$H$20:$H$49,"&lt;="&amp;Y$52,$J$20:$J$49,"&gt;="&amp;Y$52)*0.01+SUMIFS($O$20:$O$49,$M$20:$M$49,$C66,'CBA Inputs'!$R$20:$R$49,"&lt;="&amp;Y$52,$U$20:$U$49,"&gt;="&amp;Y$52,$T$20:$T$49,Scenario_Select)*0.01</f>
        <v>18910000</v>
      </c>
      <c r="Z66" s="182">
        <f>SUMIFS($E$20:$E$49,$C$20:$C$49,$C66,'CBA Inputs'!$H$20:$H$49,"&lt;="&amp;Z$52,$J$20:$J$49,"&gt;="&amp;Z$52)*0.01+SUMIFS($O$20:$O$49,$M$20:$M$49,$C66,'CBA Inputs'!$R$20:$R$49,"&lt;="&amp;Z$52,$U$20:$U$49,"&gt;="&amp;Z$52,$T$20:$T$49,Scenario_Select)*0.01</f>
        <v>18910000</v>
      </c>
      <c r="AA66" s="182">
        <f>SUMIFS($E$20:$E$49,$C$20:$C$49,$C66,'CBA Inputs'!$H$20:$H$49,"&lt;="&amp;AA$52,$J$20:$J$49,"&gt;="&amp;AA$52)*0.01+SUMIFS($O$20:$O$49,$M$20:$M$49,$C66,'CBA Inputs'!$R$20:$R$49,"&lt;="&amp;AA$52,$U$20:$U$49,"&gt;="&amp;AA$52,$T$20:$T$49,Scenario_Select)*0.01</f>
        <v>18910000</v>
      </c>
      <c r="AB66" s="182">
        <f>SUMIFS($E$20:$E$49,$C$20:$C$49,$C66,'CBA Inputs'!$H$20:$H$49,"&lt;="&amp;AB$52,$J$20:$J$49,"&gt;="&amp;AB$52)*0.01+SUMIFS($O$20:$O$49,$M$20:$M$49,$C66,'CBA Inputs'!$R$20:$R$49,"&lt;="&amp;AB$52,$U$20:$U$49,"&gt;="&amp;AB$52,$T$20:$T$49,Scenario_Select)*0.01</f>
        <v>18910000</v>
      </c>
      <c r="AC66" s="182">
        <f>SUMIFS($E$20:$E$49,$C$20:$C$49,$C66,'CBA Inputs'!$H$20:$H$49,"&lt;="&amp;AC$52,$J$20:$J$49,"&gt;="&amp;AC$52)*0.01+SUMIFS($O$20:$O$49,$M$20:$M$49,$C66,'CBA Inputs'!$R$20:$R$49,"&lt;="&amp;AC$52,$U$20:$U$49,"&gt;="&amp;AC$52,$T$20:$T$49,Scenario_Select)*0.01</f>
        <v>18910000</v>
      </c>
      <c r="AD66" s="182">
        <f>SUMIFS($E$20:$E$49,$C$20:$C$49,$C66,'CBA Inputs'!$H$20:$H$49,"&lt;="&amp;AD$52,$J$20:$J$49,"&gt;="&amp;AD$52)*0.01+SUMIFS($O$20:$O$49,$M$20:$M$49,$C66,'CBA Inputs'!$R$20:$R$49,"&lt;="&amp;AD$52,$U$20:$U$49,"&gt;="&amp;AD$52,$T$20:$T$49,Scenario_Select)*0.01</f>
        <v>18910000</v>
      </c>
      <c r="AE66" s="182">
        <f>SUMIFS($E$20:$E$49,$C$20:$C$49,$C66,'CBA Inputs'!$H$20:$H$49,"&lt;="&amp;AE$52,$J$20:$J$49,"&gt;="&amp;AE$52)*0.01+SUMIFS($O$20:$O$49,$M$20:$M$49,$C66,'CBA Inputs'!$R$20:$R$49,"&lt;="&amp;AE$52,$U$20:$U$49,"&gt;="&amp;AE$52,$T$20:$T$49,Scenario_Select)*0.01</f>
        <v>18910000</v>
      </c>
      <c r="AF66" s="182">
        <f>SUMIFS($E$20:$E$49,$C$20:$C$49,$C66,'CBA Inputs'!$H$20:$H$49,"&lt;="&amp;AF$52,$J$20:$J$49,"&gt;="&amp;AF$52)*0.01+SUMIFS($O$20:$O$49,$M$20:$M$49,$C66,'CBA Inputs'!$R$20:$R$49,"&lt;="&amp;AF$52,$U$20:$U$49,"&gt;="&amp;AF$52,$T$20:$T$49,Scenario_Select)*0.01</f>
        <v>18910000</v>
      </c>
      <c r="AG66" s="182">
        <f>SUMIFS($E$20:$E$49,$C$20:$C$49,$C66,'CBA Inputs'!$H$20:$H$49,"&lt;="&amp;AG$52,$J$20:$J$49,"&gt;="&amp;AG$52)*0.01+SUMIFS($O$20:$O$49,$M$20:$M$49,$C66,'CBA Inputs'!$R$20:$R$49,"&lt;="&amp;AG$52,$U$20:$U$49,"&gt;="&amp;AG$52,$T$20:$T$49,Scenario_Select)*0.01</f>
        <v>18910000</v>
      </c>
      <c r="AH66" s="182">
        <f>SUMIFS($E$20:$E$49,$C$20:$C$49,$C66,'CBA Inputs'!$H$20:$H$49,"&lt;="&amp;AH$52,$J$20:$J$49,"&gt;="&amp;AH$52)*0.01+SUMIFS($O$20:$O$49,$M$20:$M$49,$C66,'CBA Inputs'!$R$20:$R$49,"&lt;="&amp;AH$52,$U$20:$U$49,"&gt;="&amp;AH$52,$T$20:$T$49,Scenario_Select)*0.01</f>
        <v>18910000</v>
      </c>
      <c r="AI66" s="182">
        <f>SUMIFS($E$20:$E$49,$C$20:$C$49,$C66,'CBA Inputs'!$H$20:$H$49,"&lt;="&amp;AI$52,$J$20:$J$49,"&gt;="&amp;AI$52)*0.01+SUMIFS($O$20:$O$49,$M$20:$M$49,$C66,'CBA Inputs'!$R$20:$R$49,"&lt;="&amp;AI$52,$U$20:$U$49,"&gt;="&amp;AI$52,$T$20:$T$49,Scenario_Select)*0.01</f>
        <v>18910000</v>
      </c>
      <c r="AK66" s="187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</row>
    <row r="67" spans="1:65" x14ac:dyDescent="0.35">
      <c r="E67" s="66"/>
      <c r="AF67" s="46"/>
      <c r="AG67" s="46"/>
      <c r="AH67" s="46"/>
      <c r="AI67" s="46"/>
    </row>
    <row r="68" spans="1:65" ht="21" x14ac:dyDescent="0.5">
      <c r="B68" s="57" t="s">
        <v>25</v>
      </c>
      <c r="C68" s="57"/>
      <c r="D68" s="57"/>
      <c r="E68" s="73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K68" s="187"/>
      <c r="AL68" s="187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</row>
    <row r="69" spans="1:65" x14ac:dyDescent="0.35">
      <c r="B69" s="105"/>
      <c r="E69" s="66"/>
      <c r="AF69" s="46"/>
      <c r="AG69" s="46"/>
      <c r="AH69" s="46"/>
      <c r="AI69" s="46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87"/>
      <c r="BC69" s="187"/>
      <c r="BD69" s="187"/>
      <c r="BE69" s="187"/>
      <c r="BF69" s="187"/>
      <c r="BG69" s="187"/>
      <c r="BH69" s="187"/>
    </row>
    <row r="70" spans="1:65" x14ac:dyDescent="0.35">
      <c r="B70" s="58" t="s">
        <v>65</v>
      </c>
      <c r="C70" s="58"/>
      <c r="D70" s="58"/>
      <c r="E70" s="114" t="s">
        <v>31</v>
      </c>
      <c r="F70" s="116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  <c r="BA70" s="187"/>
      <c r="BB70" s="187"/>
      <c r="BC70" s="187"/>
      <c r="BD70" s="187"/>
      <c r="BE70" s="187"/>
      <c r="BF70" s="187"/>
      <c r="BG70" s="187"/>
      <c r="BH70" s="187"/>
    </row>
    <row r="71" spans="1:65" s="47" customFormat="1" x14ac:dyDescent="0.35">
      <c r="A71" s="87"/>
      <c r="B71" s="117"/>
      <c r="C71" s="117"/>
      <c r="D71" s="117"/>
      <c r="E71" s="118"/>
      <c r="F71" s="118"/>
      <c r="G71" s="118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87"/>
      <c r="BC71" s="187"/>
      <c r="BD71" s="187"/>
      <c r="BE71" s="187"/>
      <c r="BF71" s="187"/>
      <c r="BG71" s="187"/>
      <c r="BH71" s="187"/>
    </row>
    <row r="72" spans="1:65" x14ac:dyDescent="0.35">
      <c r="B72" s="59" t="s">
        <v>14</v>
      </c>
      <c r="C72" s="59" t="s">
        <v>13</v>
      </c>
      <c r="D72" s="80" t="str">
        <f>'Interface and charts'!$I$6</f>
        <v>Central</v>
      </c>
      <c r="E72" s="63" t="s">
        <v>7</v>
      </c>
      <c r="F72" s="171" t="str">
        <f>Calculation!G$56</f>
        <v>FY 2019-20</v>
      </c>
      <c r="G72" s="171" t="str">
        <f>Calculation!H$56</f>
        <v>FY 2020-21</v>
      </c>
      <c r="H72" s="171" t="str">
        <f>Calculation!I$56</f>
        <v>FY 2021-22</v>
      </c>
      <c r="I72" s="171" t="str">
        <f>Calculation!J$56</f>
        <v>FY 2022-23</v>
      </c>
      <c r="J72" s="171" t="str">
        <f>Calculation!K$56</f>
        <v>FY 2023-24</v>
      </c>
      <c r="K72" s="171" t="str">
        <f>Calculation!L$56</f>
        <v>FY 2024-25</v>
      </c>
      <c r="L72" s="171" t="str">
        <f>Calculation!M$56</f>
        <v>FY 2025-26</v>
      </c>
      <c r="M72" s="171" t="str">
        <f>Calculation!N$56</f>
        <v>FY 2026-27</v>
      </c>
      <c r="N72" s="171" t="str">
        <f>Calculation!O$56</f>
        <v>FY 2027-28</v>
      </c>
      <c r="O72" s="171" t="str">
        <f>Calculation!P$56</f>
        <v>FY 2028-29</v>
      </c>
      <c r="P72" s="171" t="str">
        <f>Calculation!Q$56</f>
        <v>FY 2029-30</v>
      </c>
      <c r="Q72" s="171" t="str">
        <f>Calculation!R$56</f>
        <v>FY 2030-31</v>
      </c>
      <c r="R72" s="171" t="str">
        <f>Calculation!S$56</f>
        <v>FY 2031-32</v>
      </c>
      <c r="S72" s="171" t="str">
        <f>Calculation!T$56</f>
        <v>FY 2032-33</v>
      </c>
      <c r="T72" s="171" t="str">
        <f>Calculation!U$56</f>
        <v>FY 2033-34</v>
      </c>
      <c r="U72" s="171" t="str">
        <f>Calculation!V$56</f>
        <v>FY 2034-35</v>
      </c>
      <c r="V72" s="171" t="str">
        <f>Calculation!W$56</f>
        <v>FY 2035-36</v>
      </c>
      <c r="W72" s="171" t="str">
        <f>Calculation!X$56</f>
        <v>FY 2036-37</v>
      </c>
      <c r="X72" s="171" t="str">
        <f>Calculation!Y$56</f>
        <v>FY 2037-38</v>
      </c>
      <c r="Y72" s="171" t="str">
        <f>Calculation!Z$56</f>
        <v>FY 2038-39</v>
      </c>
      <c r="Z72" s="171" t="str">
        <f>Calculation!AA$56</f>
        <v>FY 2039-40</v>
      </c>
      <c r="AA72" s="171" t="str">
        <f>Calculation!AB$56</f>
        <v>FY 2040-41</v>
      </c>
      <c r="AB72" s="171" t="str">
        <f>Calculation!AC$56</f>
        <v>FY 2041-42</v>
      </c>
      <c r="AC72" s="171" t="str">
        <f>Calculation!AD$56</f>
        <v>FY 2042-43</v>
      </c>
      <c r="AD72" s="171" t="str">
        <f>Calculation!AE$56</f>
        <v>FY 2043-44</v>
      </c>
      <c r="AE72" s="171" t="str">
        <f>Calculation!AF$56</f>
        <v>FY 2044-45</v>
      </c>
      <c r="AF72" s="171" t="str">
        <f>Calculation!AG$56</f>
        <v>FY 2045-46</v>
      </c>
      <c r="AG72" s="171" t="str">
        <f>Calculation!AH$56</f>
        <v>FY 2046-47</v>
      </c>
      <c r="AH72" s="171" t="str">
        <f>Calculation!AI$56</f>
        <v>FY 2047-48</v>
      </c>
      <c r="AI72" s="171" t="str">
        <f>Calculation!AJ$56</f>
        <v>FY 2048-49</v>
      </c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87"/>
      <c r="BC72" s="187"/>
      <c r="BD72" s="187"/>
      <c r="BE72" s="187"/>
      <c r="BF72" s="187"/>
      <c r="BG72" s="187"/>
      <c r="BH72" s="187"/>
    </row>
    <row r="73" spans="1:65" x14ac:dyDescent="0.35">
      <c r="B73" s="9">
        <v>0</v>
      </c>
      <c r="C73" s="123" t="str">
        <f>'Option inputs'!$C$14</f>
        <v>Base case</v>
      </c>
      <c r="D73" s="62"/>
      <c r="E73" s="68" t="s">
        <v>35</v>
      </c>
      <c r="F73" s="151"/>
      <c r="G73" s="151">
        <v>239042860</v>
      </c>
      <c r="H73" s="151">
        <v>1100722</v>
      </c>
      <c r="I73" s="151">
        <v>9614666</v>
      </c>
      <c r="J73" s="151">
        <v>24570</v>
      </c>
      <c r="K73" s="151">
        <v>169089462</v>
      </c>
      <c r="L73" s="151">
        <v>599</v>
      </c>
      <c r="M73" s="151">
        <v>19732317</v>
      </c>
      <c r="N73" s="151">
        <v>678</v>
      </c>
      <c r="O73" s="151">
        <v>54821964</v>
      </c>
      <c r="P73" s="151">
        <v>6186452</v>
      </c>
      <c r="Q73" s="151">
        <v>179239</v>
      </c>
      <c r="R73" s="151">
        <v>8541520</v>
      </c>
      <c r="S73" s="151">
        <v>813</v>
      </c>
      <c r="T73" s="151">
        <v>6370133</v>
      </c>
      <c r="U73" s="151">
        <v>17358820</v>
      </c>
      <c r="V73" s="151">
        <v>1319250</v>
      </c>
      <c r="W73" s="151">
        <v>993</v>
      </c>
      <c r="X73" s="151">
        <v>50490140</v>
      </c>
      <c r="Y73" s="151">
        <v>1075</v>
      </c>
      <c r="Z73" s="151">
        <v>1117</v>
      </c>
      <c r="AA73" s="151">
        <v>1188</v>
      </c>
      <c r="AB73" s="151">
        <v>1227</v>
      </c>
      <c r="AC73" s="151">
        <v>3084996</v>
      </c>
      <c r="AD73" s="151">
        <v>28457694</v>
      </c>
      <c r="AE73" s="151">
        <v>1431</v>
      </c>
      <c r="AF73" s="151"/>
      <c r="AG73" s="151"/>
      <c r="AH73" s="151"/>
      <c r="AI73" s="151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</row>
    <row r="74" spans="1:65" x14ac:dyDescent="0.35">
      <c r="B74" s="9">
        <v>1</v>
      </c>
      <c r="C74" s="122" t="str">
        <f>'Option inputs'!$C$15</f>
        <v>Option 1A</v>
      </c>
      <c r="D74" s="62"/>
      <c r="E74" s="68" t="s">
        <v>35</v>
      </c>
      <c r="F74" s="151"/>
      <c r="G74" s="151">
        <v>239042620</v>
      </c>
      <c r="H74" s="151">
        <v>1100534</v>
      </c>
      <c r="I74" s="151">
        <v>9614402</v>
      </c>
      <c r="J74" s="151">
        <v>15285436</v>
      </c>
      <c r="K74" s="151">
        <v>203854111</v>
      </c>
      <c r="L74" s="151">
        <v>417</v>
      </c>
      <c r="M74" s="151">
        <v>442</v>
      </c>
      <c r="N74" s="151">
        <v>469</v>
      </c>
      <c r="O74" s="151">
        <v>24567225</v>
      </c>
      <c r="P74" s="151">
        <v>855415</v>
      </c>
      <c r="Q74" s="151">
        <v>555</v>
      </c>
      <c r="R74" s="151">
        <v>7631917</v>
      </c>
      <c r="S74" s="151">
        <v>623</v>
      </c>
      <c r="T74" s="151">
        <v>7294766</v>
      </c>
      <c r="U74" s="151">
        <v>12714443</v>
      </c>
      <c r="V74" s="151">
        <v>3347225</v>
      </c>
      <c r="W74" s="151">
        <v>783</v>
      </c>
      <c r="X74" s="151">
        <v>62430107</v>
      </c>
      <c r="Y74" s="151">
        <v>878</v>
      </c>
      <c r="Z74" s="151">
        <v>933</v>
      </c>
      <c r="AA74" s="151">
        <v>985</v>
      </c>
      <c r="AB74" s="151">
        <v>1043</v>
      </c>
      <c r="AC74" s="151">
        <v>7895314</v>
      </c>
      <c r="AD74" s="151">
        <v>25579084</v>
      </c>
      <c r="AE74" s="151">
        <v>1238</v>
      </c>
      <c r="AF74" s="151"/>
      <c r="AG74" s="151"/>
      <c r="AH74" s="151"/>
      <c r="AI74" s="151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</row>
    <row r="75" spans="1:65" x14ac:dyDescent="0.35">
      <c r="B75" s="9">
        <v>2</v>
      </c>
      <c r="C75" s="122" t="str">
        <f>'Option inputs'!$C$16</f>
        <v>Option 1B</v>
      </c>
      <c r="D75" s="62"/>
      <c r="E75" s="68" t="s">
        <v>35</v>
      </c>
      <c r="F75" s="151"/>
      <c r="G75" s="151">
        <v>239042793</v>
      </c>
      <c r="H75" s="151">
        <v>1100375</v>
      </c>
      <c r="I75" s="151">
        <v>9614410</v>
      </c>
      <c r="J75" s="151">
        <v>15591307</v>
      </c>
      <c r="K75" s="151">
        <v>211047977</v>
      </c>
      <c r="L75" s="151">
        <v>141</v>
      </c>
      <c r="M75" s="151">
        <v>149</v>
      </c>
      <c r="N75" s="151">
        <v>159</v>
      </c>
      <c r="O75" s="151">
        <v>12659537</v>
      </c>
      <c r="P75" s="151">
        <v>178</v>
      </c>
      <c r="Q75" s="151">
        <v>188</v>
      </c>
      <c r="R75" s="151">
        <v>3962284</v>
      </c>
      <c r="S75" s="151">
        <v>211</v>
      </c>
      <c r="T75" s="151">
        <v>4109139</v>
      </c>
      <c r="U75" s="151">
        <v>4343830</v>
      </c>
      <c r="V75" s="151">
        <v>251</v>
      </c>
      <c r="W75" s="151">
        <v>265</v>
      </c>
      <c r="X75" s="151">
        <v>51590224</v>
      </c>
      <c r="Y75" s="151">
        <v>297</v>
      </c>
      <c r="Z75" s="151">
        <v>316</v>
      </c>
      <c r="AA75" s="151">
        <v>333</v>
      </c>
      <c r="AB75" s="151">
        <v>353</v>
      </c>
      <c r="AC75" s="151">
        <v>1898143</v>
      </c>
      <c r="AD75" s="151">
        <v>20213042</v>
      </c>
      <c r="AE75" s="151">
        <v>419</v>
      </c>
      <c r="AF75" s="151"/>
      <c r="AG75" s="151"/>
      <c r="AH75" s="151"/>
      <c r="AI75" s="151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87"/>
      <c r="BB75" s="187"/>
      <c r="BC75" s="187"/>
      <c r="BD75" s="187"/>
      <c r="BE75" s="187"/>
      <c r="BF75" s="187"/>
      <c r="BG75" s="187"/>
      <c r="BH75" s="187"/>
    </row>
    <row r="76" spans="1:65" x14ac:dyDescent="0.35">
      <c r="B76" s="9">
        <v>3</v>
      </c>
      <c r="C76" s="122" t="str">
        <f>'Option inputs'!$C$17</f>
        <v>Option 1C</v>
      </c>
      <c r="D76" s="62"/>
      <c r="E76" s="68" t="s">
        <v>35</v>
      </c>
      <c r="F76" s="151"/>
      <c r="G76" s="151">
        <v>239042985</v>
      </c>
      <c r="H76" s="151">
        <v>1100745</v>
      </c>
      <c r="I76" s="151">
        <v>9614754</v>
      </c>
      <c r="J76" s="151">
        <v>41987</v>
      </c>
      <c r="K76" s="151">
        <v>275009166</v>
      </c>
      <c r="L76" s="151">
        <v>655</v>
      </c>
      <c r="M76" s="151">
        <v>703</v>
      </c>
      <c r="N76" s="151">
        <v>725</v>
      </c>
      <c r="O76" s="151">
        <v>759</v>
      </c>
      <c r="P76" s="151">
        <v>791</v>
      </c>
      <c r="Q76" s="151">
        <v>804</v>
      </c>
      <c r="R76" s="151">
        <v>3962891</v>
      </c>
      <c r="S76" s="151">
        <v>879</v>
      </c>
      <c r="T76" s="151">
        <v>4109585</v>
      </c>
      <c r="U76" s="151">
        <v>4333312</v>
      </c>
      <c r="V76" s="151">
        <v>999</v>
      </c>
      <c r="W76" s="151">
        <v>1040</v>
      </c>
      <c r="X76" s="151">
        <v>51583246</v>
      </c>
      <c r="Y76" s="151">
        <v>1121</v>
      </c>
      <c r="Z76" s="151">
        <v>1153</v>
      </c>
      <c r="AA76" s="151">
        <v>1235</v>
      </c>
      <c r="AB76" s="151">
        <v>1248</v>
      </c>
      <c r="AC76" s="151">
        <v>1899057</v>
      </c>
      <c r="AD76" s="151">
        <v>20213925</v>
      </c>
      <c r="AE76" s="151">
        <v>1433</v>
      </c>
      <c r="AF76" s="151"/>
      <c r="AG76" s="151"/>
      <c r="AH76" s="151"/>
      <c r="AI76" s="151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</row>
    <row r="77" spans="1:65" x14ac:dyDescent="0.35">
      <c r="B77" s="9">
        <v>4</v>
      </c>
      <c r="C77" s="122" t="str">
        <f>'Option inputs'!$C$18</f>
        <v>Option 2A</v>
      </c>
      <c r="D77" s="62"/>
      <c r="E77" s="68" t="s">
        <v>35</v>
      </c>
      <c r="F77" s="151"/>
      <c r="G77" s="151">
        <v>239043596</v>
      </c>
      <c r="H77" s="151">
        <v>1101616</v>
      </c>
      <c r="I77" s="151">
        <v>9615269</v>
      </c>
      <c r="J77" s="151">
        <v>25332675</v>
      </c>
      <c r="K77" s="151">
        <v>53363345</v>
      </c>
      <c r="L77" s="151">
        <v>1360</v>
      </c>
      <c r="M77" s="151">
        <v>1410</v>
      </c>
      <c r="N77" s="151">
        <v>1425</v>
      </c>
      <c r="O77" s="151">
        <v>12752766</v>
      </c>
      <c r="P77" s="151">
        <v>1156884</v>
      </c>
      <c r="Q77" s="151">
        <v>1531</v>
      </c>
      <c r="R77" s="151">
        <v>6775174</v>
      </c>
      <c r="S77" s="151">
        <v>1617</v>
      </c>
      <c r="T77" s="151">
        <v>2954059</v>
      </c>
      <c r="U77" s="151">
        <v>8348115</v>
      </c>
      <c r="V77" s="151">
        <v>1819405</v>
      </c>
      <c r="W77" s="151">
        <v>1815</v>
      </c>
      <c r="X77" s="151">
        <v>48030782</v>
      </c>
      <c r="Y77" s="151">
        <v>1933</v>
      </c>
      <c r="Z77" s="151">
        <v>2001</v>
      </c>
      <c r="AA77" s="151">
        <v>2094</v>
      </c>
      <c r="AB77" s="151">
        <v>1511399</v>
      </c>
      <c r="AC77" s="151">
        <v>400639</v>
      </c>
      <c r="AD77" s="151">
        <v>26188126</v>
      </c>
      <c r="AE77" s="151">
        <v>2501</v>
      </c>
      <c r="AF77" s="151"/>
      <c r="AG77" s="151"/>
      <c r="AH77" s="151"/>
      <c r="AI77" s="151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</row>
    <row r="78" spans="1:65" x14ac:dyDescent="0.35">
      <c r="B78" s="9">
        <v>5</v>
      </c>
      <c r="C78" s="122" t="str">
        <f>'Option inputs'!$C$19</f>
        <v>Option 2B</v>
      </c>
      <c r="D78" s="62"/>
      <c r="E78" s="68" t="s">
        <v>35</v>
      </c>
      <c r="F78" s="151"/>
      <c r="G78" s="151">
        <v>239042782</v>
      </c>
      <c r="H78" s="151">
        <v>1100695</v>
      </c>
      <c r="I78" s="151">
        <v>9614653</v>
      </c>
      <c r="J78" s="151">
        <v>28895055</v>
      </c>
      <c r="K78" s="151">
        <v>44701729</v>
      </c>
      <c r="L78" s="151">
        <v>630</v>
      </c>
      <c r="M78" s="151">
        <v>666</v>
      </c>
      <c r="N78" s="151">
        <v>708</v>
      </c>
      <c r="O78" s="151">
        <v>8772605</v>
      </c>
      <c r="P78" s="151">
        <v>789</v>
      </c>
      <c r="Q78" s="151">
        <v>835</v>
      </c>
      <c r="R78" s="151">
        <v>3429299</v>
      </c>
      <c r="S78" s="151">
        <v>934</v>
      </c>
      <c r="T78" s="151">
        <v>988</v>
      </c>
      <c r="U78" s="151">
        <v>187963</v>
      </c>
      <c r="V78" s="151">
        <v>1109</v>
      </c>
      <c r="W78" s="151">
        <v>1170</v>
      </c>
      <c r="X78" s="151">
        <v>47597127</v>
      </c>
      <c r="Y78" s="151">
        <v>1309</v>
      </c>
      <c r="Z78" s="151">
        <v>1389</v>
      </c>
      <c r="AA78" s="151">
        <v>1465</v>
      </c>
      <c r="AB78" s="151">
        <v>1544</v>
      </c>
      <c r="AC78" s="151">
        <v>3186857</v>
      </c>
      <c r="AD78" s="151">
        <v>22931704</v>
      </c>
      <c r="AE78" s="151">
        <v>1825</v>
      </c>
      <c r="AF78" s="151"/>
      <c r="AG78" s="151"/>
      <c r="AH78" s="151"/>
      <c r="AI78" s="151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</row>
    <row r="79" spans="1:65" x14ac:dyDescent="0.35">
      <c r="B79" s="9">
        <v>6</v>
      </c>
      <c r="C79" s="122" t="str">
        <f>'Option inputs'!$C$20</f>
        <v>Option 2C</v>
      </c>
      <c r="D79" s="62"/>
      <c r="E79" s="68" t="s">
        <v>35</v>
      </c>
      <c r="F79" s="151"/>
      <c r="G79" s="151">
        <v>239042759</v>
      </c>
      <c r="H79" s="151">
        <v>1100690</v>
      </c>
      <c r="I79" s="151">
        <v>9614686</v>
      </c>
      <c r="J79" s="151">
        <v>46830947</v>
      </c>
      <c r="K79" s="151">
        <v>2136285</v>
      </c>
      <c r="L79" s="151">
        <v>591</v>
      </c>
      <c r="M79" s="151">
        <v>629</v>
      </c>
      <c r="N79" s="151">
        <v>667</v>
      </c>
      <c r="O79" s="151">
        <v>693</v>
      </c>
      <c r="P79" s="151">
        <v>728</v>
      </c>
      <c r="Q79" s="151">
        <v>760</v>
      </c>
      <c r="R79" s="151">
        <v>3429186</v>
      </c>
      <c r="S79" s="151">
        <v>833</v>
      </c>
      <c r="T79" s="151">
        <v>879</v>
      </c>
      <c r="U79" s="151">
        <v>201356</v>
      </c>
      <c r="V79" s="151">
        <v>972</v>
      </c>
      <c r="W79" s="151">
        <v>1018</v>
      </c>
      <c r="X79" s="151">
        <v>47596712</v>
      </c>
      <c r="Y79" s="151">
        <v>1118</v>
      </c>
      <c r="Z79" s="151">
        <v>1167</v>
      </c>
      <c r="AA79" s="151">
        <v>1242</v>
      </c>
      <c r="AB79" s="151">
        <v>1291</v>
      </c>
      <c r="AC79" s="151">
        <v>3186131</v>
      </c>
      <c r="AD79" s="151">
        <v>22930043</v>
      </c>
      <c r="AE79" s="151">
        <v>1500</v>
      </c>
      <c r="AF79" s="151"/>
      <c r="AG79" s="151"/>
      <c r="AH79" s="151"/>
      <c r="AI79" s="151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</row>
    <row r="80" spans="1:65" x14ac:dyDescent="0.35">
      <c r="B80" s="9">
        <v>7</v>
      </c>
      <c r="C80" s="122" t="str">
        <f>'Option inputs'!$C$21</f>
        <v>Option 3A</v>
      </c>
      <c r="D80" s="119"/>
      <c r="E80" s="68" t="s">
        <v>35</v>
      </c>
      <c r="F80" s="130"/>
      <c r="G80" s="130">
        <v>239042941</v>
      </c>
      <c r="H80" s="151">
        <v>1100763</v>
      </c>
      <c r="I80" s="151">
        <v>9614773</v>
      </c>
      <c r="J80" s="151">
        <v>20734261</v>
      </c>
      <c r="K80" s="151">
        <v>101396213</v>
      </c>
      <c r="L80" s="151">
        <v>639</v>
      </c>
      <c r="M80" s="151">
        <v>668</v>
      </c>
      <c r="N80" s="151">
        <v>719</v>
      </c>
      <c r="O80" s="151">
        <v>33927607</v>
      </c>
      <c r="P80" s="151">
        <v>4391182</v>
      </c>
      <c r="Q80" s="151">
        <v>790</v>
      </c>
      <c r="R80" s="151">
        <v>7868135</v>
      </c>
      <c r="S80" s="151">
        <v>856</v>
      </c>
      <c r="T80" s="151">
        <v>7328593</v>
      </c>
      <c r="U80" s="151">
        <v>8807000</v>
      </c>
      <c r="V80" s="151">
        <v>3315334</v>
      </c>
      <c r="W80" s="151">
        <v>1026</v>
      </c>
      <c r="X80" s="151">
        <v>61200966</v>
      </c>
      <c r="Y80" s="151">
        <v>1112</v>
      </c>
      <c r="Z80" s="151">
        <v>1150</v>
      </c>
      <c r="AA80" s="151">
        <v>1224</v>
      </c>
      <c r="AB80" s="151">
        <v>1253</v>
      </c>
      <c r="AC80" s="151">
        <v>6744140</v>
      </c>
      <c r="AD80" s="151">
        <v>24692139</v>
      </c>
      <c r="AE80" s="151">
        <v>1444</v>
      </c>
      <c r="AF80" s="151"/>
      <c r="AG80" s="151"/>
      <c r="AH80" s="151"/>
      <c r="AI80" s="151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</row>
    <row r="81" spans="2:60" x14ac:dyDescent="0.35">
      <c r="B81" s="64">
        <f>+'Option inputs'!$B$22</f>
        <v>8</v>
      </c>
      <c r="C81" s="122" t="str">
        <f>'Option inputs'!$C$22</f>
        <v>Option 3B</v>
      </c>
      <c r="D81" s="119"/>
      <c r="E81" s="68" t="s">
        <v>35</v>
      </c>
      <c r="F81" s="130"/>
      <c r="G81" s="130">
        <v>239042855</v>
      </c>
      <c r="H81" s="151">
        <v>1100643</v>
      </c>
      <c r="I81" s="151">
        <v>9614642</v>
      </c>
      <c r="J81" s="151">
        <v>21258639</v>
      </c>
      <c r="K81" s="151">
        <v>87518213</v>
      </c>
      <c r="L81" s="151">
        <v>503</v>
      </c>
      <c r="M81" s="151">
        <v>528</v>
      </c>
      <c r="N81" s="151">
        <v>558</v>
      </c>
      <c r="O81" s="151">
        <v>28423464</v>
      </c>
      <c r="P81" s="151">
        <v>611</v>
      </c>
      <c r="Q81" s="151">
        <v>636</v>
      </c>
      <c r="R81" s="151">
        <v>3451728</v>
      </c>
      <c r="S81" s="151">
        <v>698</v>
      </c>
      <c r="T81" s="151">
        <v>735</v>
      </c>
      <c r="U81" s="151">
        <v>474590</v>
      </c>
      <c r="V81" s="151">
        <v>808</v>
      </c>
      <c r="W81" s="151">
        <v>846</v>
      </c>
      <c r="X81" s="151">
        <v>47580145</v>
      </c>
      <c r="Y81" s="151">
        <v>927</v>
      </c>
      <c r="Z81" s="151">
        <v>978</v>
      </c>
      <c r="AA81" s="151">
        <v>1025</v>
      </c>
      <c r="AB81" s="151">
        <v>1066</v>
      </c>
      <c r="AC81" s="151">
        <v>3185738</v>
      </c>
      <c r="AD81" s="151">
        <v>22947103</v>
      </c>
      <c r="AE81" s="151">
        <v>1234</v>
      </c>
      <c r="AF81" s="151"/>
      <c r="AG81" s="151"/>
      <c r="AH81" s="151"/>
      <c r="AI81" s="151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</row>
    <row r="82" spans="2:60" x14ac:dyDescent="0.35">
      <c r="B82" s="64">
        <f>+'Option inputs'!$B$23</f>
        <v>9</v>
      </c>
      <c r="C82" s="122" t="str">
        <f>'Option inputs'!$C$23</f>
        <v>Option 3C</v>
      </c>
      <c r="D82" s="119"/>
      <c r="E82" s="68" t="s">
        <v>35</v>
      </c>
      <c r="F82" s="130"/>
      <c r="G82" s="130">
        <v>239042917</v>
      </c>
      <c r="H82" s="151">
        <v>1100937</v>
      </c>
      <c r="I82" s="151">
        <v>9614833</v>
      </c>
      <c r="J82" s="151">
        <v>44774970</v>
      </c>
      <c r="K82" s="151">
        <v>26804992</v>
      </c>
      <c r="L82" s="151">
        <v>975</v>
      </c>
      <c r="M82" s="151">
        <v>1025</v>
      </c>
      <c r="N82" s="151">
        <v>1087</v>
      </c>
      <c r="O82" s="151">
        <v>1145</v>
      </c>
      <c r="P82" s="151">
        <v>1212</v>
      </c>
      <c r="Q82" s="151">
        <v>1272</v>
      </c>
      <c r="R82" s="151">
        <v>3452263</v>
      </c>
      <c r="S82" s="151">
        <v>1418</v>
      </c>
      <c r="T82" s="151">
        <v>1499</v>
      </c>
      <c r="U82" s="151">
        <v>478652</v>
      </c>
      <c r="V82" s="151">
        <v>1673</v>
      </c>
      <c r="W82" s="151">
        <v>1763</v>
      </c>
      <c r="X82" s="151">
        <v>47581847</v>
      </c>
      <c r="Y82" s="151">
        <v>1961</v>
      </c>
      <c r="Z82" s="151">
        <v>2074</v>
      </c>
      <c r="AA82" s="151">
        <v>2188</v>
      </c>
      <c r="AB82" s="151">
        <v>2302</v>
      </c>
      <c r="AC82" s="151">
        <v>3186987</v>
      </c>
      <c r="AD82" s="151">
        <v>22948436</v>
      </c>
      <c r="AE82" s="151">
        <v>2717</v>
      </c>
      <c r="AF82" s="151"/>
      <c r="AG82" s="151"/>
      <c r="AH82" s="151"/>
      <c r="AI82" s="151"/>
      <c r="AK82" s="102"/>
      <c r="AL82" s="102"/>
      <c r="AM82" s="102"/>
      <c r="AN82" s="102"/>
      <c r="AO82" s="102"/>
    </row>
    <row r="83" spans="2:60" x14ac:dyDescent="0.35">
      <c r="B83" s="64">
        <f>+'Option inputs'!$B$24</f>
        <v>10</v>
      </c>
      <c r="C83" s="122" t="str">
        <f>'Option inputs'!$C$24</f>
        <v>Option 4A</v>
      </c>
      <c r="D83" s="119"/>
      <c r="E83" s="68" t="s">
        <v>35</v>
      </c>
      <c r="F83" s="130"/>
      <c r="G83" s="130">
        <v>239042814</v>
      </c>
      <c r="H83" s="151">
        <v>1100653</v>
      </c>
      <c r="I83" s="151">
        <v>9614622</v>
      </c>
      <c r="J83" s="151">
        <v>20734292</v>
      </c>
      <c r="K83" s="151">
        <v>106323817</v>
      </c>
      <c r="L83" s="151">
        <v>503</v>
      </c>
      <c r="M83" s="151">
        <v>533</v>
      </c>
      <c r="N83" s="151">
        <v>560</v>
      </c>
      <c r="O83" s="151">
        <v>29030749</v>
      </c>
      <c r="P83" s="151">
        <v>2532173</v>
      </c>
      <c r="Q83" s="151">
        <v>632</v>
      </c>
      <c r="R83" s="151">
        <v>8192864</v>
      </c>
      <c r="S83" s="151">
        <v>697</v>
      </c>
      <c r="T83" s="151">
        <v>7324872</v>
      </c>
      <c r="U83" s="151">
        <v>7958772</v>
      </c>
      <c r="V83" s="151">
        <v>3071345</v>
      </c>
      <c r="W83" s="151">
        <v>854</v>
      </c>
      <c r="X83" s="151">
        <v>60001677</v>
      </c>
      <c r="Y83" s="151">
        <v>936</v>
      </c>
      <c r="Z83" s="151">
        <v>973</v>
      </c>
      <c r="AA83" s="151">
        <v>1044</v>
      </c>
      <c r="AB83" s="151">
        <v>1069</v>
      </c>
      <c r="AC83" s="151">
        <v>6856538</v>
      </c>
      <c r="AD83" s="151">
        <v>24991908</v>
      </c>
      <c r="AE83" s="151">
        <v>1261</v>
      </c>
      <c r="AF83" s="151"/>
      <c r="AG83" s="151"/>
      <c r="AH83" s="151"/>
      <c r="AI83" s="151"/>
      <c r="AK83" s="102"/>
      <c r="AL83" s="102"/>
      <c r="AM83" s="102"/>
      <c r="AN83" s="102"/>
      <c r="AO83" s="102"/>
    </row>
    <row r="84" spans="2:60" x14ac:dyDescent="0.35">
      <c r="B84" s="64">
        <f>+'Option inputs'!$B$25</f>
        <v>11</v>
      </c>
      <c r="C84" s="122" t="str">
        <f>'Option inputs'!$C$25</f>
        <v>Option 4B</v>
      </c>
      <c r="D84" s="119"/>
      <c r="E84" s="68" t="s">
        <v>35</v>
      </c>
      <c r="F84" s="130"/>
      <c r="G84" s="130">
        <v>239042776</v>
      </c>
      <c r="H84" s="151">
        <v>1100602</v>
      </c>
      <c r="I84" s="151">
        <v>9614596</v>
      </c>
      <c r="J84" s="151">
        <v>25331966</v>
      </c>
      <c r="K84" s="151">
        <v>70260783</v>
      </c>
      <c r="L84" s="151">
        <v>468</v>
      </c>
      <c r="M84" s="151">
        <v>495</v>
      </c>
      <c r="N84" s="151">
        <v>520</v>
      </c>
      <c r="O84" s="151">
        <v>12626303</v>
      </c>
      <c r="P84" s="151">
        <v>572</v>
      </c>
      <c r="Q84" s="151">
        <v>590</v>
      </c>
      <c r="R84" s="151">
        <v>300532</v>
      </c>
      <c r="S84" s="151">
        <v>650</v>
      </c>
      <c r="T84" s="151">
        <v>683</v>
      </c>
      <c r="U84" s="151">
        <v>84132</v>
      </c>
      <c r="V84" s="151">
        <v>759</v>
      </c>
      <c r="W84" s="151">
        <v>796</v>
      </c>
      <c r="X84" s="151">
        <v>42364068</v>
      </c>
      <c r="Y84" s="151">
        <v>873</v>
      </c>
      <c r="Z84" s="151">
        <v>914</v>
      </c>
      <c r="AA84" s="151">
        <v>974</v>
      </c>
      <c r="AB84" s="151">
        <v>1014</v>
      </c>
      <c r="AC84" s="151">
        <v>3192924</v>
      </c>
      <c r="AD84" s="151">
        <v>22959854</v>
      </c>
      <c r="AE84" s="151">
        <v>1191</v>
      </c>
      <c r="AF84" s="151"/>
      <c r="AG84" s="151"/>
      <c r="AH84" s="151"/>
      <c r="AI84" s="151"/>
      <c r="AK84" s="102"/>
      <c r="AL84" s="102"/>
      <c r="AM84" s="102"/>
      <c r="AN84" s="102"/>
      <c r="AO84" s="102"/>
    </row>
    <row r="85" spans="2:60" x14ac:dyDescent="0.35">
      <c r="B85" s="64">
        <f>+'Option inputs'!$B$26</f>
        <v>12</v>
      </c>
      <c r="C85" s="122" t="str">
        <f>'Option inputs'!$C$26</f>
        <v>Option 4C</v>
      </c>
      <c r="D85" s="119"/>
      <c r="E85" s="68" t="s">
        <v>35</v>
      </c>
      <c r="F85" s="130"/>
      <c r="G85" s="130">
        <v>239042832</v>
      </c>
      <c r="H85" s="151">
        <v>1100353</v>
      </c>
      <c r="I85" s="151">
        <v>9614424</v>
      </c>
      <c r="J85" s="151">
        <v>44774731</v>
      </c>
      <c r="K85" s="151">
        <v>26804009</v>
      </c>
      <c r="L85" s="151">
        <v>97</v>
      </c>
      <c r="M85" s="151">
        <v>103</v>
      </c>
      <c r="N85" s="151">
        <v>109</v>
      </c>
      <c r="O85" s="151">
        <v>115</v>
      </c>
      <c r="P85" s="151">
        <v>122</v>
      </c>
      <c r="Q85" s="151">
        <v>129</v>
      </c>
      <c r="R85" s="151">
        <v>300147</v>
      </c>
      <c r="S85" s="151">
        <v>144</v>
      </c>
      <c r="T85" s="151">
        <v>153</v>
      </c>
      <c r="U85" s="151">
        <v>96946</v>
      </c>
      <c r="V85" s="151">
        <v>172</v>
      </c>
      <c r="W85" s="151">
        <v>181</v>
      </c>
      <c r="X85" s="151">
        <v>42363211</v>
      </c>
      <c r="Y85" s="151">
        <v>203</v>
      </c>
      <c r="Z85" s="151">
        <v>215</v>
      </c>
      <c r="AA85" s="151">
        <v>227</v>
      </c>
      <c r="AB85" s="151">
        <v>241</v>
      </c>
      <c r="AC85" s="151">
        <v>3192482</v>
      </c>
      <c r="AD85" s="151">
        <v>22959568</v>
      </c>
      <c r="AE85" s="151">
        <v>286</v>
      </c>
      <c r="AF85" s="151"/>
      <c r="AG85" s="151"/>
      <c r="AH85" s="151"/>
      <c r="AI85" s="151"/>
      <c r="AK85" s="102"/>
      <c r="AL85" s="102"/>
      <c r="AM85" s="102"/>
      <c r="AN85" s="102"/>
      <c r="AO85" s="102"/>
    </row>
    <row r="86" spans="2:60" x14ac:dyDescent="0.35">
      <c r="D86" s="70"/>
      <c r="E86" s="66"/>
      <c r="AF86" s="46"/>
      <c r="AG86" s="46"/>
      <c r="AH86" s="46"/>
      <c r="AI86" s="46"/>
    </row>
    <row r="87" spans="2:60" x14ac:dyDescent="0.35">
      <c r="B87" s="59" t="s">
        <v>14</v>
      </c>
      <c r="C87" s="59" t="s">
        <v>13</v>
      </c>
      <c r="D87" s="80" t="str">
        <f>'Interface and charts'!$J$6</f>
        <v>Step change</v>
      </c>
      <c r="E87" s="63" t="s">
        <v>7</v>
      </c>
      <c r="F87" s="171" t="str">
        <f>Calculation!G$56</f>
        <v>FY 2019-20</v>
      </c>
      <c r="G87" s="171" t="str">
        <f>Calculation!H$56</f>
        <v>FY 2020-21</v>
      </c>
      <c r="H87" s="171" t="str">
        <f>Calculation!I$56</f>
        <v>FY 2021-22</v>
      </c>
      <c r="I87" s="171" t="str">
        <f>Calculation!J$56</f>
        <v>FY 2022-23</v>
      </c>
      <c r="J87" s="171" t="str">
        <f>Calculation!K$56</f>
        <v>FY 2023-24</v>
      </c>
      <c r="K87" s="171" t="str">
        <f>Calculation!L$56</f>
        <v>FY 2024-25</v>
      </c>
      <c r="L87" s="171" t="str">
        <f>Calculation!M$56</f>
        <v>FY 2025-26</v>
      </c>
      <c r="M87" s="171" t="str">
        <f>Calculation!N$56</f>
        <v>FY 2026-27</v>
      </c>
      <c r="N87" s="171" t="str">
        <f>Calculation!O$56</f>
        <v>FY 2027-28</v>
      </c>
      <c r="O87" s="171" t="str">
        <f>Calculation!P$56</f>
        <v>FY 2028-29</v>
      </c>
      <c r="P87" s="171" t="str">
        <f>Calculation!Q$56</f>
        <v>FY 2029-30</v>
      </c>
      <c r="Q87" s="171" t="str">
        <f>Calculation!R$56</f>
        <v>FY 2030-31</v>
      </c>
      <c r="R87" s="171" t="str">
        <f>Calculation!S$56</f>
        <v>FY 2031-32</v>
      </c>
      <c r="S87" s="171" t="str">
        <f>Calculation!T$56</f>
        <v>FY 2032-33</v>
      </c>
      <c r="T87" s="171" t="str">
        <f>Calculation!U$56</f>
        <v>FY 2033-34</v>
      </c>
      <c r="U87" s="171" t="str">
        <f>Calculation!V$56</f>
        <v>FY 2034-35</v>
      </c>
      <c r="V87" s="171" t="str">
        <f>Calculation!W$56</f>
        <v>FY 2035-36</v>
      </c>
      <c r="W87" s="171" t="str">
        <f>Calculation!X$56</f>
        <v>FY 2036-37</v>
      </c>
      <c r="X87" s="171" t="str">
        <f>Calculation!Y$56</f>
        <v>FY 2037-38</v>
      </c>
      <c r="Y87" s="171" t="str">
        <f>Calculation!Z$56</f>
        <v>FY 2038-39</v>
      </c>
      <c r="Z87" s="171" t="str">
        <f>Calculation!AA$56</f>
        <v>FY 2039-40</v>
      </c>
      <c r="AA87" s="171" t="str">
        <f>Calculation!AB$56</f>
        <v>FY 2040-41</v>
      </c>
      <c r="AB87" s="171" t="str">
        <f>Calculation!AC$56</f>
        <v>FY 2041-42</v>
      </c>
      <c r="AC87" s="171" t="str">
        <f>Calculation!AD$56</f>
        <v>FY 2042-43</v>
      </c>
      <c r="AD87" s="171" t="str">
        <f>Calculation!AE$56</f>
        <v>FY 2043-44</v>
      </c>
      <c r="AE87" s="171" t="str">
        <f>Calculation!AF$56</f>
        <v>FY 2044-45</v>
      </c>
      <c r="AF87" s="171" t="str">
        <f>Calculation!AG$56</f>
        <v>FY 2045-46</v>
      </c>
      <c r="AG87" s="171" t="str">
        <f>Calculation!AH$56</f>
        <v>FY 2046-47</v>
      </c>
      <c r="AH87" s="171" t="str">
        <f>Calculation!AI$56</f>
        <v>FY 2047-48</v>
      </c>
      <c r="AI87" s="171" t="str">
        <f>Calculation!AJ$56</f>
        <v>FY 2048-49</v>
      </c>
    </row>
    <row r="88" spans="2:60" x14ac:dyDescent="0.35">
      <c r="B88" s="9">
        <v>0</v>
      </c>
      <c r="C88" s="123" t="str">
        <f>'Option inputs'!$C$14</f>
        <v>Base case</v>
      </c>
      <c r="D88" s="62"/>
      <c r="E88" s="68" t="s">
        <v>35</v>
      </c>
      <c r="F88" s="151"/>
      <c r="G88" s="151">
        <v>302941211</v>
      </c>
      <c r="H88" s="151">
        <v>3367456</v>
      </c>
      <c r="I88" s="151">
        <v>682</v>
      </c>
      <c r="J88" s="151">
        <v>5853311</v>
      </c>
      <c r="K88" s="151">
        <v>185457811</v>
      </c>
      <c r="L88" s="151">
        <v>822</v>
      </c>
      <c r="M88" s="151">
        <v>55503543</v>
      </c>
      <c r="N88" s="151">
        <v>910</v>
      </c>
      <c r="O88" s="151">
        <v>34155936</v>
      </c>
      <c r="P88" s="151">
        <v>1009</v>
      </c>
      <c r="Q88" s="151">
        <v>1068</v>
      </c>
      <c r="R88" s="151">
        <v>1133</v>
      </c>
      <c r="S88" s="151">
        <v>1188</v>
      </c>
      <c r="T88" s="151">
        <v>1252</v>
      </c>
      <c r="U88" s="151">
        <v>2977428</v>
      </c>
      <c r="V88" s="151">
        <v>1416483</v>
      </c>
      <c r="W88" s="151">
        <v>1476</v>
      </c>
      <c r="X88" s="151">
        <v>22715330</v>
      </c>
      <c r="Y88" s="151">
        <v>1637</v>
      </c>
      <c r="Z88" s="151">
        <v>1725</v>
      </c>
      <c r="AA88" s="151">
        <v>1817</v>
      </c>
      <c r="AB88" s="151">
        <v>1891</v>
      </c>
      <c r="AC88" s="151">
        <v>1996</v>
      </c>
      <c r="AD88" s="151">
        <v>2099</v>
      </c>
      <c r="AE88" s="151">
        <v>2195</v>
      </c>
      <c r="AF88" s="151"/>
      <c r="AG88" s="151"/>
      <c r="AH88" s="151"/>
      <c r="AI88" s="151"/>
    </row>
    <row r="89" spans="2:60" x14ac:dyDescent="0.35">
      <c r="B89" s="9">
        <v>1</v>
      </c>
      <c r="C89" s="122" t="str">
        <f>'Option inputs'!$C$15</f>
        <v>Option 1A</v>
      </c>
      <c r="D89" s="62"/>
      <c r="E89" s="68" t="s">
        <v>35</v>
      </c>
      <c r="F89" s="151"/>
      <c r="G89" s="151">
        <v>302941052</v>
      </c>
      <c r="H89" s="151">
        <v>3366861</v>
      </c>
      <c r="I89" s="151">
        <v>26</v>
      </c>
      <c r="J89" s="151">
        <v>5852696</v>
      </c>
      <c r="K89" s="151">
        <v>158396447</v>
      </c>
      <c r="L89" s="151">
        <v>32</v>
      </c>
      <c r="M89" s="151">
        <v>13914535</v>
      </c>
      <c r="N89" s="151">
        <v>36</v>
      </c>
      <c r="O89" s="151">
        <v>22212953</v>
      </c>
      <c r="P89" s="151">
        <v>40</v>
      </c>
      <c r="Q89" s="151">
        <v>42</v>
      </c>
      <c r="R89" s="151">
        <v>45</v>
      </c>
      <c r="S89" s="151">
        <v>48</v>
      </c>
      <c r="T89" s="151">
        <v>50</v>
      </c>
      <c r="U89" s="151">
        <v>53</v>
      </c>
      <c r="V89" s="151">
        <v>57</v>
      </c>
      <c r="W89" s="151">
        <v>60</v>
      </c>
      <c r="X89" s="151">
        <v>24104522</v>
      </c>
      <c r="Y89" s="151">
        <v>67</v>
      </c>
      <c r="Z89" s="151">
        <v>71</v>
      </c>
      <c r="AA89" s="151">
        <v>75</v>
      </c>
      <c r="AB89" s="151">
        <v>79</v>
      </c>
      <c r="AC89" s="151">
        <v>84</v>
      </c>
      <c r="AD89" s="151">
        <v>89</v>
      </c>
      <c r="AE89" s="151">
        <v>94</v>
      </c>
      <c r="AF89" s="151"/>
      <c r="AG89" s="151"/>
      <c r="AH89" s="151"/>
      <c r="AI89" s="151"/>
    </row>
    <row r="90" spans="2:60" x14ac:dyDescent="0.35">
      <c r="B90" s="9">
        <v>2</v>
      </c>
      <c r="C90" s="122" t="str">
        <f>'Option inputs'!$C$16</f>
        <v>Option 1B</v>
      </c>
      <c r="D90" s="62"/>
      <c r="E90" s="68" t="s">
        <v>35</v>
      </c>
      <c r="F90" s="151"/>
      <c r="G90" s="151">
        <v>302941001</v>
      </c>
      <c r="H90" s="151">
        <v>3366953</v>
      </c>
      <c r="I90" s="151">
        <v>131</v>
      </c>
      <c r="J90" s="151">
        <v>5852766</v>
      </c>
      <c r="K90" s="151">
        <v>183154718</v>
      </c>
      <c r="L90" s="151">
        <v>159</v>
      </c>
      <c r="M90" s="151">
        <v>168</v>
      </c>
      <c r="N90" s="151">
        <v>178</v>
      </c>
      <c r="O90" s="151">
        <v>1126732</v>
      </c>
      <c r="P90" s="151">
        <v>199</v>
      </c>
      <c r="Q90" s="151">
        <v>211</v>
      </c>
      <c r="R90" s="151">
        <v>224</v>
      </c>
      <c r="S90" s="151">
        <v>236</v>
      </c>
      <c r="T90" s="151">
        <v>250</v>
      </c>
      <c r="U90" s="151">
        <v>265</v>
      </c>
      <c r="V90" s="151">
        <v>281</v>
      </c>
      <c r="W90" s="151">
        <v>297</v>
      </c>
      <c r="X90" s="151">
        <v>10484119</v>
      </c>
      <c r="Y90" s="151">
        <v>332</v>
      </c>
      <c r="Z90" s="151">
        <v>353</v>
      </c>
      <c r="AA90" s="151">
        <v>373</v>
      </c>
      <c r="AB90" s="151">
        <v>394</v>
      </c>
      <c r="AC90" s="151">
        <v>418</v>
      </c>
      <c r="AD90" s="151">
        <v>444</v>
      </c>
      <c r="AE90" s="151">
        <v>466</v>
      </c>
      <c r="AF90" s="151"/>
      <c r="AG90" s="151"/>
      <c r="AH90" s="151"/>
      <c r="AI90" s="151"/>
    </row>
    <row r="91" spans="2:60" x14ac:dyDescent="0.35">
      <c r="B91" s="9">
        <v>3</v>
      </c>
      <c r="C91" s="122" t="str">
        <f>'Option inputs'!$C$17</f>
        <v>Option 1C</v>
      </c>
      <c r="D91" s="62"/>
      <c r="E91" s="68" t="s">
        <v>35</v>
      </c>
      <c r="F91" s="151"/>
      <c r="G91" s="151">
        <v>302941004</v>
      </c>
      <c r="H91" s="151">
        <v>3366919</v>
      </c>
      <c r="I91" s="151">
        <v>93</v>
      </c>
      <c r="J91" s="151">
        <v>5852740</v>
      </c>
      <c r="K91" s="151">
        <v>253334926</v>
      </c>
      <c r="L91" s="151">
        <v>113</v>
      </c>
      <c r="M91" s="151">
        <v>119</v>
      </c>
      <c r="N91" s="151">
        <v>127</v>
      </c>
      <c r="O91" s="151">
        <v>1126636</v>
      </c>
      <c r="P91" s="151">
        <v>142</v>
      </c>
      <c r="Q91" s="151">
        <v>150</v>
      </c>
      <c r="R91" s="151">
        <v>159</v>
      </c>
      <c r="S91" s="151">
        <v>168</v>
      </c>
      <c r="T91" s="151">
        <v>178</v>
      </c>
      <c r="U91" s="151">
        <v>189</v>
      </c>
      <c r="V91" s="151">
        <v>200</v>
      </c>
      <c r="W91" s="151">
        <v>212</v>
      </c>
      <c r="X91" s="151">
        <v>10484024</v>
      </c>
      <c r="Y91" s="151">
        <v>237</v>
      </c>
      <c r="Z91" s="151">
        <v>252</v>
      </c>
      <c r="AA91" s="151">
        <v>266</v>
      </c>
      <c r="AB91" s="151">
        <v>281</v>
      </c>
      <c r="AC91" s="151">
        <v>298</v>
      </c>
      <c r="AD91" s="151">
        <v>316</v>
      </c>
      <c r="AE91" s="151">
        <v>333</v>
      </c>
      <c r="AF91" s="151"/>
      <c r="AG91" s="151"/>
      <c r="AH91" s="151"/>
      <c r="AI91" s="151"/>
    </row>
    <row r="92" spans="2:60" x14ac:dyDescent="0.35">
      <c r="B92" s="9">
        <v>4</v>
      </c>
      <c r="C92" s="122" t="str">
        <f>'Option inputs'!$C$18</f>
        <v>Option 2A</v>
      </c>
      <c r="D92" s="62"/>
      <c r="E92" s="68" t="s">
        <v>35</v>
      </c>
      <c r="F92" s="151"/>
      <c r="G92" s="151">
        <v>302941060</v>
      </c>
      <c r="H92" s="151">
        <v>3366870</v>
      </c>
      <c r="I92" s="151">
        <v>37</v>
      </c>
      <c r="J92" s="151">
        <v>5852703</v>
      </c>
      <c r="K92" s="151">
        <v>59579990</v>
      </c>
      <c r="L92" s="151">
        <v>45</v>
      </c>
      <c r="M92" s="151">
        <v>7303267</v>
      </c>
      <c r="N92" s="151">
        <v>50</v>
      </c>
      <c r="O92" s="151">
        <v>21287964</v>
      </c>
      <c r="P92" s="151">
        <v>56</v>
      </c>
      <c r="Q92" s="151">
        <v>59</v>
      </c>
      <c r="R92" s="151">
        <v>63</v>
      </c>
      <c r="S92" s="151">
        <v>66</v>
      </c>
      <c r="T92" s="151">
        <v>70</v>
      </c>
      <c r="U92" s="151">
        <v>75</v>
      </c>
      <c r="V92" s="151">
        <v>79</v>
      </c>
      <c r="W92" s="151">
        <v>84</v>
      </c>
      <c r="X92" s="151">
        <v>22586483</v>
      </c>
      <c r="Y92" s="151">
        <v>94</v>
      </c>
      <c r="Z92" s="151">
        <v>100</v>
      </c>
      <c r="AA92" s="151">
        <v>105</v>
      </c>
      <c r="AB92" s="151">
        <v>111</v>
      </c>
      <c r="AC92" s="151">
        <v>118</v>
      </c>
      <c r="AD92" s="151">
        <v>125</v>
      </c>
      <c r="AE92" s="151">
        <v>131</v>
      </c>
      <c r="AF92" s="151"/>
      <c r="AG92" s="151"/>
      <c r="AH92" s="151"/>
      <c r="AI92" s="151"/>
    </row>
    <row r="93" spans="2:60" x14ac:dyDescent="0.35">
      <c r="B93" s="9">
        <v>5</v>
      </c>
      <c r="C93" s="122" t="str">
        <f>'Option inputs'!$C$19</f>
        <v>Option 2B</v>
      </c>
      <c r="D93" s="62"/>
      <c r="E93" s="68" t="s">
        <v>35</v>
      </c>
      <c r="F93" s="151"/>
      <c r="G93" s="151">
        <v>302941206</v>
      </c>
      <c r="H93" s="151">
        <v>3367680</v>
      </c>
      <c r="I93" s="151">
        <v>923</v>
      </c>
      <c r="J93" s="151">
        <v>5853527</v>
      </c>
      <c r="K93" s="151">
        <v>55818894</v>
      </c>
      <c r="L93" s="151">
        <v>1107</v>
      </c>
      <c r="M93" s="151">
        <v>1167</v>
      </c>
      <c r="N93" s="151">
        <v>1237</v>
      </c>
      <c r="O93" s="151">
        <v>1127093</v>
      </c>
      <c r="P93" s="151">
        <v>1372</v>
      </c>
      <c r="Q93" s="151">
        <v>1450</v>
      </c>
      <c r="R93" s="151">
        <v>1535</v>
      </c>
      <c r="S93" s="151">
        <v>1616</v>
      </c>
      <c r="T93" s="151">
        <v>1707</v>
      </c>
      <c r="U93" s="151">
        <v>1806</v>
      </c>
      <c r="V93" s="151">
        <v>1912</v>
      </c>
      <c r="W93" s="151">
        <v>2018</v>
      </c>
      <c r="X93" s="151">
        <v>13355930</v>
      </c>
      <c r="Y93" s="151">
        <v>2245</v>
      </c>
      <c r="Z93" s="151">
        <v>2381</v>
      </c>
      <c r="AA93" s="151">
        <v>2514</v>
      </c>
      <c r="AB93" s="151">
        <v>2643</v>
      </c>
      <c r="AC93" s="151">
        <v>2800</v>
      </c>
      <c r="AD93" s="151">
        <v>2977</v>
      </c>
      <c r="AE93" s="151">
        <v>3122</v>
      </c>
      <c r="AF93" s="151"/>
      <c r="AG93" s="151"/>
      <c r="AH93" s="151"/>
      <c r="AI93" s="151"/>
    </row>
    <row r="94" spans="2:60" x14ac:dyDescent="0.35">
      <c r="B94" s="9">
        <v>6</v>
      </c>
      <c r="C94" s="122" t="str">
        <f>'Option inputs'!$C$20</f>
        <v>Option 2C</v>
      </c>
      <c r="D94" s="62"/>
      <c r="E94" s="68" t="s">
        <v>35</v>
      </c>
      <c r="F94" s="151"/>
      <c r="G94" s="151">
        <v>302940917</v>
      </c>
      <c r="H94" s="151">
        <v>3367807</v>
      </c>
      <c r="I94" s="151">
        <v>1068</v>
      </c>
      <c r="J94" s="151">
        <v>5853573</v>
      </c>
      <c r="K94" s="151">
        <v>16255114</v>
      </c>
      <c r="L94" s="151">
        <v>1288</v>
      </c>
      <c r="M94" s="151">
        <v>1361</v>
      </c>
      <c r="N94" s="151">
        <v>1447</v>
      </c>
      <c r="O94" s="151">
        <v>1126735</v>
      </c>
      <c r="P94" s="151">
        <v>1613</v>
      </c>
      <c r="Q94" s="151">
        <v>1701</v>
      </c>
      <c r="R94" s="151">
        <v>1804</v>
      </c>
      <c r="S94" s="151">
        <v>1899</v>
      </c>
      <c r="T94" s="151">
        <v>2012</v>
      </c>
      <c r="U94" s="151">
        <v>2132</v>
      </c>
      <c r="V94" s="151">
        <v>2261</v>
      </c>
      <c r="W94" s="151">
        <v>2385</v>
      </c>
      <c r="X94" s="151">
        <v>13355920</v>
      </c>
      <c r="Y94" s="151">
        <v>2680</v>
      </c>
      <c r="Z94" s="151">
        <v>2841</v>
      </c>
      <c r="AA94" s="151">
        <v>2998</v>
      </c>
      <c r="AB94" s="151">
        <v>3196</v>
      </c>
      <c r="AC94" s="151">
        <v>3387</v>
      </c>
      <c r="AD94" s="151">
        <v>3675</v>
      </c>
      <c r="AE94" s="151">
        <v>3794</v>
      </c>
      <c r="AF94" s="151"/>
      <c r="AG94" s="151"/>
      <c r="AH94" s="151"/>
      <c r="AI94" s="151"/>
    </row>
    <row r="95" spans="2:60" x14ac:dyDescent="0.35">
      <c r="B95" s="9">
        <v>7</v>
      </c>
      <c r="C95" s="122" t="str">
        <f>'Option inputs'!$C$21</f>
        <v>Option 3A</v>
      </c>
      <c r="D95" s="62"/>
      <c r="E95" s="68" t="s">
        <v>35</v>
      </c>
      <c r="F95" s="130"/>
      <c r="G95" s="130">
        <v>302940986</v>
      </c>
      <c r="H95" s="151">
        <v>3366937</v>
      </c>
      <c r="I95" s="151">
        <v>114</v>
      </c>
      <c r="J95" s="151">
        <v>5852752</v>
      </c>
      <c r="K95" s="151">
        <v>97707741</v>
      </c>
      <c r="L95" s="151">
        <v>138</v>
      </c>
      <c r="M95" s="151">
        <v>12772944</v>
      </c>
      <c r="N95" s="151">
        <v>155</v>
      </c>
      <c r="O95" s="151">
        <v>24416734</v>
      </c>
      <c r="P95" s="151">
        <v>173</v>
      </c>
      <c r="Q95" s="151">
        <v>184</v>
      </c>
      <c r="R95" s="151">
        <v>195</v>
      </c>
      <c r="S95" s="151">
        <v>206</v>
      </c>
      <c r="T95" s="151">
        <v>218</v>
      </c>
      <c r="U95" s="151">
        <v>492141</v>
      </c>
      <c r="V95" s="151">
        <v>245</v>
      </c>
      <c r="W95" s="151">
        <v>259</v>
      </c>
      <c r="X95" s="151">
        <v>30448873</v>
      </c>
      <c r="Y95" s="151">
        <v>289</v>
      </c>
      <c r="Z95" s="151">
        <v>308</v>
      </c>
      <c r="AA95" s="151">
        <v>325</v>
      </c>
      <c r="AB95" s="151">
        <v>343</v>
      </c>
      <c r="AC95" s="151">
        <v>364</v>
      </c>
      <c r="AD95" s="151">
        <v>387</v>
      </c>
      <c r="AE95" s="151">
        <v>407</v>
      </c>
      <c r="AF95" s="151"/>
      <c r="AG95" s="151"/>
      <c r="AH95" s="151"/>
      <c r="AI95" s="151"/>
    </row>
    <row r="96" spans="2:60" x14ac:dyDescent="0.35">
      <c r="B96" s="64">
        <f>+'Option inputs'!$B$22</f>
        <v>8</v>
      </c>
      <c r="C96" s="122" t="str">
        <f>'Option inputs'!$C$22</f>
        <v>Option 3B</v>
      </c>
      <c r="D96" s="62"/>
      <c r="E96" s="68" t="s">
        <v>35</v>
      </c>
      <c r="F96" s="130"/>
      <c r="G96" s="130">
        <v>302941160</v>
      </c>
      <c r="H96" s="151">
        <v>3367250</v>
      </c>
      <c r="I96" s="151">
        <v>451</v>
      </c>
      <c r="J96" s="151">
        <v>5853098</v>
      </c>
      <c r="K96" s="151">
        <v>86070052</v>
      </c>
      <c r="L96" s="151">
        <v>541</v>
      </c>
      <c r="M96" s="151">
        <v>572</v>
      </c>
      <c r="N96" s="151">
        <v>606</v>
      </c>
      <c r="O96" s="151">
        <v>1126901</v>
      </c>
      <c r="P96" s="151">
        <v>674</v>
      </c>
      <c r="Q96" s="151">
        <v>712</v>
      </c>
      <c r="R96" s="151">
        <v>754</v>
      </c>
      <c r="S96" s="151">
        <v>794</v>
      </c>
      <c r="T96" s="151">
        <v>839</v>
      </c>
      <c r="U96" s="151">
        <v>891</v>
      </c>
      <c r="V96" s="151">
        <v>940</v>
      </c>
      <c r="W96" s="151">
        <v>993</v>
      </c>
      <c r="X96" s="151">
        <v>13355112</v>
      </c>
      <c r="Y96" s="151">
        <v>1112</v>
      </c>
      <c r="Z96" s="151">
        <v>1177</v>
      </c>
      <c r="AA96" s="151">
        <v>1240</v>
      </c>
      <c r="AB96" s="151">
        <v>1304</v>
      </c>
      <c r="AC96" s="151">
        <v>1382</v>
      </c>
      <c r="AD96" s="151">
        <v>1466</v>
      </c>
      <c r="AE96" s="151">
        <v>1540</v>
      </c>
      <c r="AF96" s="151"/>
      <c r="AG96" s="151"/>
      <c r="AH96" s="151"/>
      <c r="AI96" s="151"/>
    </row>
    <row r="97" spans="2:72" x14ac:dyDescent="0.35">
      <c r="B97" s="64">
        <f>+'Option inputs'!$B$23</f>
        <v>9</v>
      </c>
      <c r="C97" s="122" t="str">
        <f>'Option inputs'!$C$23</f>
        <v>Option 3C</v>
      </c>
      <c r="D97" s="62"/>
      <c r="E97" s="68" t="s">
        <v>35</v>
      </c>
      <c r="F97" s="130"/>
      <c r="G97" s="130">
        <v>302941246</v>
      </c>
      <c r="H97" s="151">
        <v>3367647</v>
      </c>
      <c r="I97" s="151">
        <v>892</v>
      </c>
      <c r="J97" s="151">
        <v>5853502</v>
      </c>
      <c r="K97" s="151">
        <v>38036787</v>
      </c>
      <c r="L97" s="151">
        <v>1060</v>
      </c>
      <c r="M97" s="151">
        <v>1121</v>
      </c>
      <c r="N97" s="151">
        <v>1181</v>
      </c>
      <c r="O97" s="151">
        <v>1127094</v>
      </c>
      <c r="P97" s="151">
        <v>1305</v>
      </c>
      <c r="Q97" s="151">
        <v>1382</v>
      </c>
      <c r="R97" s="151">
        <v>1459</v>
      </c>
      <c r="S97" s="151">
        <v>1532</v>
      </c>
      <c r="T97" s="151">
        <v>1620</v>
      </c>
      <c r="U97" s="151">
        <v>1716</v>
      </c>
      <c r="V97" s="151">
        <v>1811</v>
      </c>
      <c r="W97" s="151">
        <v>1910</v>
      </c>
      <c r="X97" s="151">
        <v>13355795</v>
      </c>
      <c r="Y97" s="151">
        <v>2100</v>
      </c>
      <c r="Z97" s="151">
        <v>2208</v>
      </c>
      <c r="AA97" s="151">
        <v>2324</v>
      </c>
      <c r="AB97" s="151">
        <v>2416</v>
      </c>
      <c r="AC97" s="151">
        <v>2549</v>
      </c>
      <c r="AD97" s="151">
        <v>2693</v>
      </c>
      <c r="AE97" s="151">
        <v>2818</v>
      </c>
      <c r="AF97" s="151"/>
      <c r="AG97" s="151"/>
      <c r="AH97" s="151"/>
      <c r="AI97" s="151"/>
    </row>
    <row r="98" spans="2:72" x14ac:dyDescent="0.35">
      <c r="B98" s="64">
        <f>+'Option inputs'!$B$24</f>
        <v>10</v>
      </c>
      <c r="C98" s="122" t="str">
        <f>'Option inputs'!$C$24</f>
        <v>Option 4A</v>
      </c>
      <c r="D98" s="62"/>
      <c r="E98" s="68" t="s">
        <v>35</v>
      </c>
      <c r="F98" s="130"/>
      <c r="G98" s="130">
        <v>302941046</v>
      </c>
      <c r="H98" s="151">
        <v>3366856</v>
      </c>
      <c r="I98" s="151">
        <v>20</v>
      </c>
      <c r="J98" s="151">
        <v>5852693</v>
      </c>
      <c r="K98" s="151">
        <v>101656352</v>
      </c>
      <c r="L98" s="151">
        <v>24</v>
      </c>
      <c r="M98" s="151">
        <v>12682217</v>
      </c>
      <c r="N98" s="151">
        <v>27</v>
      </c>
      <c r="O98" s="151">
        <v>24416288</v>
      </c>
      <c r="P98" s="151">
        <v>30</v>
      </c>
      <c r="Q98" s="151">
        <v>32</v>
      </c>
      <c r="R98" s="151">
        <v>34</v>
      </c>
      <c r="S98" s="151">
        <v>36</v>
      </c>
      <c r="T98" s="151">
        <v>38</v>
      </c>
      <c r="U98" s="151">
        <v>314621</v>
      </c>
      <c r="V98" s="151">
        <v>43</v>
      </c>
      <c r="W98" s="151">
        <v>45</v>
      </c>
      <c r="X98" s="151">
        <v>28896729</v>
      </c>
      <c r="Y98" s="151">
        <v>51</v>
      </c>
      <c r="Z98" s="151">
        <v>54</v>
      </c>
      <c r="AA98" s="151">
        <v>57</v>
      </c>
      <c r="AB98" s="151">
        <v>60</v>
      </c>
      <c r="AC98" s="151">
        <v>64</v>
      </c>
      <c r="AD98" s="151">
        <v>68</v>
      </c>
      <c r="AE98" s="151">
        <v>71</v>
      </c>
      <c r="AF98" s="151"/>
      <c r="AG98" s="151"/>
      <c r="AH98" s="151"/>
      <c r="AI98" s="151"/>
    </row>
    <row r="99" spans="2:72" x14ac:dyDescent="0.35">
      <c r="B99" s="64">
        <f>+'Option inputs'!$B$25</f>
        <v>11</v>
      </c>
      <c r="C99" s="122" t="str">
        <f>'Option inputs'!$C$25</f>
        <v>Option 4B</v>
      </c>
      <c r="D99" s="62"/>
      <c r="E99" s="68" t="s">
        <v>35</v>
      </c>
      <c r="F99" s="130"/>
      <c r="G99" s="130">
        <v>302941015</v>
      </c>
      <c r="H99" s="151">
        <v>3366931</v>
      </c>
      <c r="I99" s="151">
        <v>107</v>
      </c>
      <c r="J99" s="151">
        <v>5852749</v>
      </c>
      <c r="K99" s="151">
        <v>68642613</v>
      </c>
      <c r="L99" s="151">
        <v>129</v>
      </c>
      <c r="M99" s="151">
        <v>137</v>
      </c>
      <c r="N99" s="151">
        <v>145</v>
      </c>
      <c r="O99" s="151">
        <v>153</v>
      </c>
      <c r="P99" s="151">
        <v>162</v>
      </c>
      <c r="Q99" s="151">
        <v>172</v>
      </c>
      <c r="R99" s="151">
        <v>182</v>
      </c>
      <c r="S99" s="151">
        <v>192</v>
      </c>
      <c r="T99" s="151">
        <v>204</v>
      </c>
      <c r="U99" s="151">
        <v>216</v>
      </c>
      <c r="V99" s="151">
        <v>229</v>
      </c>
      <c r="W99" s="151">
        <v>242</v>
      </c>
      <c r="X99" s="151">
        <v>256</v>
      </c>
      <c r="Y99" s="151">
        <v>271</v>
      </c>
      <c r="Z99" s="151">
        <v>288</v>
      </c>
      <c r="AA99" s="151">
        <v>304</v>
      </c>
      <c r="AB99" s="151">
        <v>321</v>
      </c>
      <c r="AC99" s="151">
        <v>340</v>
      </c>
      <c r="AD99" s="151">
        <v>362</v>
      </c>
      <c r="AE99" s="151">
        <v>380</v>
      </c>
      <c r="AF99" s="151"/>
      <c r="AG99" s="151"/>
      <c r="AH99" s="151"/>
      <c r="AI99" s="151"/>
    </row>
    <row r="100" spans="2:72" x14ac:dyDescent="0.35">
      <c r="B100" s="64">
        <f>+'Option inputs'!$B$26</f>
        <v>12</v>
      </c>
      <c r="C100" s="122" t="str">
        <f>'Option inputs'!$C$26</f>
        <v>Option 4C</v>
      </c>
      <c r="D100" s="62"/>
      <c r="E100" s="68" t="s">
        <v>35</v>
      </c>
      <c r="F100" s="130"/>
      <c r="G100" s="130">
        <v>302941679</v>
      </c>
      <c r="H100" s="151">
        <v>3368003</v>
      </c>
      <c r="I100" s="151">
        <v>1128</v>
      </c>
      <c r="J100" s="151">
        <v>5853681</v>
      </c>
      <c r="K100" s="151">
        <v>38824742</v>
      </c>
      <c r="L100" s="151">
        <v>1191</v>
      </c>
      <c r="M100" s="151">
        <v>1225</v>
      </c>
      <c r="N100" s="151">
        <v>1240</v>
      </c>
      <c r="O100" s="151">
        <v>1285</v>
      </c>
      <c r="P100" s="151">
        <v>1327</v>
      </c>
      <c r="Q100" s="151">
        <v>1356</v>
      </c>
      <c r="R100" s="151">
        <v>1429</v>
      </c>
      <c r="S100" s="151">
        <v>1464</v>
      </c>
      <c r="T100" s="151">
        <v>1538</v>
      </c>
      <c r="U100" s="151">
        <v>1639</v>
      </c>
      <c r="V100" s="151">
        <v>1651</v>
      </c>
      <c r="W100" s="151">
        <v>1753</v>
      </c>
      <c r="X100" s="151">
        <v>1898</v>
      </c>
      <c r="Y100" s="151">
        <v>2017</v>
      </c>
      <c r="Z100" s="151">
        <v>2078</v>
      </c>
      <c r="AA100" s="151">
        <v>2121</v>
      </c>
      <c r="AB100" s="151">
        <v>2305</v>
      </c>
      <c r="AC100" s="151">
        <v>2402</v>
      </c>
      <c r="AD100" s="151">
        <v>2539</v>
      </c>
      <c r="AE100" s="151">
        <v>2627</v>
      </c>
      <c r="AF100" s="151"/>
      <c r="AG100" s="151"/>
      <c r="AH100" s="151"/>
      <c r="AI100" s="151"/>
    </row>
    <row r="101" spans="2:72" x14ac:dyDescent="0.35">
      <c r="E101" s="66"/>
      <c r="AF101" s="46"/>
      <c r="AG101" s="46"/>
      <c r="AH101" s="46"/>
      <c r="AI101" s="46"/>
    </row>
    <row r="102" spans="2:72" x14ac:dyDescent="0.35">
      <c r="B102" s="59" t="s">
        <v>14</v>
      </c>
      <c r="C102" s="59" t="s">
        <v>13</v>
      </c>
      <c r="D102" s="59" t="str">
        <f>'Interface and charts'!$K$6</f>
        <v>Slow change</v>
      </c>
      <c r="E102" s="63" t="s">
        <v>7</v>
      </c>
      <c r="F102" s="171" t="str">
        <f>Calculation!G$56</f>
        <v>FY 2019-20</v>
      </c>
      <c r="G102" s="171" t="str">
        <f>Calculation!H$56</f>
        <v>FY 2020-21</v>
      </c>
      <c r="H102" s="171" t="str">
        <f>Calculation!I$56</f>
        <v>FY 2021-22</v>
      </c>
      <c r="I102" s="171" t="str">
        <f>Calculation!J$56</f>
        <v>FY 2022-23</v>
      </c>
      <c r="J102" s="171" t="str">
        <f>Calculation!K$56</f>
        <v>FY 2023-24</v>
      </c>
      <c r="K102" s="171" t="str">
        <f>Calculation!L$56</f>
        <v>FY 2024-25</v>
      </c>
      <c r="L102" s="171" t="str">
        <f>Calculation!M$56</f>
        <v>FY 2025-26</v>
      </c>
      <c r="M102" s="171" t="str">
        <f>Calculation!N$56</f>
        <v>FY 2026-27</v>
      </c>
      <c r="N102" s="171" t="str">
        <f>Calculation!O$56</f>
        <v>FY 2027-28</v>
      </c>
      <c r="O102" s="171" t="str">
        <f>Calculation!P$56</f>
        <v>FY 2028-29</v>
      </c>
      <c r="P102" s="171" t="str">
        <f>Calculation!Q$56</f>
        <v>FY 2029-30</v>
      </c>
      <c r="Q102" s="171" t="str">
        <f>Calculation!R$56</f>
        <v>FY 2030-31</v>
      </c>
      <c r="R102" s="171" t="str">
        <f>Calculation!S$56</f>
        <v>FY 2031-32</v>
      </c>
      <c r="S102" s="171" t="str">
        <f>Calculation!T$56</f>
        <v>FY 2032-33</v>
      </c>
      <c r="T102" s="171" t="str">
        <f>Calculation!U$56</f>
        <v>FY 2033-34</v>
      </c>
      <c r="U102" s="171" t="str">
        <f>Calculation!V$56</f>
        <v>FY 2034-35</v>
      </c>
      <c r="V102" s="171" t="str">
        <f>Calculation!W$56</f>
        <v>FY 2035-36</v>
      </c>
      <c r="W102" s="171" t="str">
        <f>Calculation!X$56</f>
        <v>FY 2036-37</v>
      </c>
      <c r="X102" s="171" t="str">
        <f>Calculation!Y$56</f>
        <v>FY 2037-38</v>
      </c>
      <c r="Y102" s="171" t="str">
        <f>Calculation!Z$56</f>
        <v>FY 2038-39</v>
      </c>
      <c r="Z102" s="171" t="str">
        <f>Calculation!AA$56</f>
        <v>FY 2039-40</v>
      </c>
      <c r="AA102" s="171" t="str">
        <f>Calculation!AB$56</f>
        <v>FY 2040-41</v>
      </c>
      <c r="AB102" s="171" t="str">
        <f>Calculation!AC$56</f>
        <v>FY 2041-42</v>
      </c>
      <c r="AC102" s="171" t="str">
        <f>Calculation!AD$56</f>
        <v>FY 2042-43</v>
      </c>
      <c r="AD102" s="171" t="str">
        <f>Calculation!AE$56</f>
        <v>FY 2043-44</v>
      </c>
      <c r="AE102" s="171" t="str">
        <f>Calculation!AF$56</f>
        <v>FY 2044-45</v>
      </c>
      <c r="AF102" s="171" t="str">
        <f>Calculation!AG$56</f>
        <v>FY 2045-46</v>
      </c>
      <c r="AG102" s="171" t="str">
        <f>Calculation!AH$56</f>
        <v>FY 2046-47</v>
      </c>
      <c r="AH102" s="171" t="str">
        <f>Calculation!AI$56</f>
        <v>FY 2047-48</v>
      </c>
      <c r="AI102" s="171" t="str">
        <f>Calculation!AJ$56</f>
        <v>FY 2048-49</v>
      </c>
    </row>
    <row r="103" spans="2:72" x14ac:dyDescent="0.35">
      <c r="B103" s="9">
        <v>0</v>
      </c>
      <c r="C103" s="123" t="str">
        <f>'Option inputs'!$C$14</f>
        <v>Base case</v>
      </c>
      <c r="D103" s="62"/>
      <c r="E103" s="68" t="s">
        <v>35</v>
      </c>
      <c r="F103" s="151"/>
      <c r="G103" s="151">
        <v>255421580</v>
      </c>
      <c r="H103" s="151">
        <v>195</v>
      </c>
      <c r="I103" s="151">
        <v>200</v>
      </c>
      <c r="J103" s="151">
        <v>1431337</v>
      </c>
      <c r="K103" s="151">
        <v>217307920</v>
      </c>
      <c r="L103" s="151">
        <v>237</v>
      </c>
      <c r="M103" s="151">
        <v>32845512</v>
      </c>
      <c r="N103" s="151">
        <v>265</v>
      </c>
      <c r="O103" s="151">
        <v>85413748</v>
      </c>
      <c r="P103" s="151">
        <v>296</v>
      </c>
      <c r="Q103" s="151">
        <v>309</v>
      </c>
      <c r="R103" s="151">
        <v>195250</v>
      </c>
      <c r="S103" s="151">
        <v>72635565</v>
      </c>
      <c r="T103" s="151">
        <v>4284049</v>
      </c>
      <c r="U103" s="151">
        <v>2849398</v>
      </c>
      <c r="V103" s="151">
        <v>55742303</v>
      </c>
      <c r="W103" s="151">
        <v>3199173</v>
      </c>
      <c r="X103" s="151">
        <v>69205322</v>
      </c>
      <c r="Y103" s="151">
        <v>445</v>
      </c>
      <c r="Z103" s="151">
        <v>2055678</v>
      </c>
      <c r="AA103" s="151">
        <v>10524376</v>
      </c>
      <c r="AB103" s="151">
        <v>20648468</v>
      </c>
      <c r="AC103" s="151">
        <v>181714945</v>
      </c>
      <c r="AD103" s="151">
        <v>71273393</v>
      </c>
      <c r="AE103" s="151">
        <v>3071103</v>
      </c>
      <c r="AF103" s="151"/>
      <c r="AG103" s="151"/>
      <c r="AH103" s="151"/>
      <c r="AI103" s="151"/>
      <c r="BL103" s="102"/>
      <c r="BM103" s="102"/>
      <c r="BN103" s="102"/>
      <c r="BO103" s="102"/>
      <c r="BP103" s="102"/>
      <c r="BQ103" s="102"/>
      <c r="BR103" s="102"/>
      <c r="BS103" s="102"/>
      <c r="BT103" s="102"/>
    </row>
    <row r="104" spans="2:72" x14ac:dyDescent="0.35">
      <c r="B104" s="9">
        <v>1</v>
      </c>
      <c r="C104" s="122" t="str">
        <f>'Option inputs'!$C$15</f>
        <v>Option 1A</v>
      </c>
      <c r="D104" s="62"/>
      <c r="E104" s="68" t="s">
        <v>35</v>
      </c>
      <c r="F104" s="151"/>
      <c r="G104" s="151">
        <v>259232417</v>
      </c>
      <c r="H104" s="151">
        <v>349</v>
      </c>
      <c r="I104" s="151">
        <v>358</v>
      </c>
      <c r="J104" s="151">
        <v>23979226</v>
      </c>
      <c r="K104" s="151">
        <v>299326404</v>
      </c>
      <c r="L104" s="151">
        <v>425</v>
      </c>
      <c r="M104" s="151">
        <v>5784697</v>
      </c>
      <c r="N104" s="151">
        <v>480</v>
      </c>
      <c r="O104" s="151">
        <v>33122551</v>
      </c>
      <c r="P104" s="151">
        <v>525</v>
      </c>
      <c r="Q104" s="151">
        <v>552</v>
      </c>
      <c r="R104" s="151">
        <v>584</v>
      </c>
      <c r="S104" s="151">
        <v>46828862</v>
      </c>
      <c r="T104" s="151">
        <v>645</v>
      </c>
      <c r="U104" s="151">
        <v>6032672</v>
      </c>
      <c r="V104" s="151">
        <v>59403610</v>
      </c>
      <c r="W104" s="151">
        <v>757</v>
      </c>
      <c r="X104" s="151">
        <v>76268400</v>
      </c>
      <c r="Y104" s="151">
        <v>840</v>
      </c>
      <c r="Z104" s="151">
        <v>2041124</v>
      </c>
      <c r="AA104" s="151">
        <v>24241040</v>
      </c>
      <c r="AB104" s="151">
        <v>13647288</v>
      </c>
      <c r="AC104" s="151">
        <v>175839443</v>
      </c>
      <c r="AD104" s="151">
        <v>73168068</v>
      </c>
      <c r="AE104" s="151">
        <v>4080670</v>
      </c>
      <c r="AF104" s="151"/>
      <c r="AG104" s="151"/>
      <c r="AH104" s="151"/>
      <c r="AI104" s="151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2"/>
      <c r="BT104" s="102"/>
    </row>
    <row r="105" spans="2:72" x14ac:dyDescent="0.35">
      <c r="B105" s="9">
        <v>2</v>
      </c>
      <c r="C105" s="122" t="str">
        <f>'Option inputs'!$C$16</f>
        <v>Option 1B</v>
      </c>
      <c r="D105" s="62"/>
      <c r="E105" s="68" t="s">
        <v>35</v>
      </c>
      <c r="F105" s="151"/>
      <c r="G105" s="151">
        <v>258485456</v>
      </c>
      <c r="H105" s="151">
        <v>269</v>
      </c>
      <c r="I105" s="151">
        <v>279</v>
      </c>
      <c r="J105" s="151">
        <v>25063467</v>
      </c>
      <c r="K105" s="151">
        <v>309532876</v>
      </c>
      <c r="L105" s="151">
        <v>331</v>
      </c>
      <c r="M105" s="151">
        <v>167793</v>
      </c>
      <c r="N105" s="151">
        <v>367</v>
      </c>
      <c r="O105" s="151">
        <v>10581869</v>
      </c>
      <c r="P105" s="151">
        <v>406</v>
      </c>
      <c r="Q105" s="151">
        <v>424</v>
      </c>
      <c r="R105" s="151">
        <v>452</v>
      </c>
      <c r="S105" s="151">
        <v>29297119</v>
      </c>
      <c r="T105" s="151">
        <v>489</v>
      </c>
      <c r="U105" s="151">
        <v>3677856</v>
      </c>
      <c r="V105" s="151">
        <v>56315555</v>
      </c>
      <c r="W105" s="151">
        <v>565</v>
      </c>
      <c r="X105" s="151">
        <v>78542276</v>
      </c>
      <c r="Y105" s="151">
        <v>612</v>
      </c>
      <c r="Z105" s="151">
        <v>14034</v>
      </c>
      <c r="AA105" s="151">
        <v>26989027</v>
      </c>
      <c r="AB105" s="151">
        <v>5325199</v>
      </c>
      <c r="AC105" s="151">
        <v>142795309</v>
      </c>
      <c r="AD105" s="151">
        <v>64935182</v>
      </c>
      <c r="AE105" s="151">
        <v>802</v>
      </c>
      <c r="AF105" s="151"/>
      <c r="AG105" s="151"/>
      <c r="AH105" s="151"/>
      <c r="AI105" s="151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</row>
    <row r="106" spans="2:72" x14ac:dyDescent="0.35">
      <c r="B106" s="9">
        <v>3</v>
      </c>
      <c r="C106" s="122" t="str">
        <f>'Option inputs'!$C$17</f>
        <v>Option 1C</v>
      </c>
      <c r="D106" s="62"/>
      <c r="E106" s="68" t="s">
        <v>35</v>
      </c>
      <c r="F106" s="151"/>
      <c r="G106" s="151">
        <v>256022202</v>
      </c>
      <c r="H106" s="151">
        <v>67</v>
      </c>
      <c r="I106" s="151">
        <v>71</v>
      </c>
      <c r="J106" s="151">
        <v>27430801</v>
      </c>
      <c r="K106" s="151">
        <v>441938359</v>
      </c>
      <c r="L106" s="151">
        <v>85</v>
      </c>
      <c r="M106" s="151">
        <v>91</v>
      </c>
      <c r="N106" s="151">
        <v>96</v>
      </c>
      <c r="O106" s="151">
        <v>102</v>
      </c>
      <c r="P106" s="151">
        <v>107</v>
      </c>
      <c r="Q106" s="151">
        <v>114</v>
      </c>
      <c r="R106" s="151">
        <v>121</v>
      </c>
      <c r="S106" s="151">
        <v>128</v>
      </c>
      <c r="T106" s="151">
        <v>135</v>
      </c>
      <c r="U106" s="151">
        <v>143</v>
      </c>
      <c r="V106" s="151">
        <v>56315916</v>
      </c>
      <c r="W106" s="151">
        <v>161</v>
      </c>
      <c r="X106" s="151">
        <v>78557185</v>
      </c>
      <c r="Y106" s="151">
        <v>180</v>
      </c>
      <c r="Z106" s="151">
        <v>13611</v>
      </c>
      <c r="AA106" s="151">
        <v>26989702</v>
      </c>
      <c r="AB106" s="151">
        <v>5324639</v>
      </c>
      <c r="AC106" s="151">
        <v>142802046</v>
      </c>
      <c r="AD106" s="151">
        <v>64936441</v>
      </c>
      <c r="AE106" s="151">
        <v>254</v>
      </c>
      <c r="AF106" s="151"/>
      <c r="AG106" s="151"/>
      <c r="AH106" s="151"/>
      <c r="AI106" s="151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</row>
    <row r="107" spans="2:72" x14ac:dyDescent="0.35">
      <c r="B107" s="9">
        <v>4</v>
      </c>
      <c r="C107" s="122" t="str">
        <f>'Option inputs'!$C$18</f>
        <v>Option 2A</v>
      </c>
      <c r="D107" s="62"/>
      <c r="E107" s="68" t="s">
        <v>35</v>
      </c>
      <c r="F107" s="151"/>
      <c r="G107" s="151">
        <v>267272536</v>
      </c>
      <c r="H107" s="151">
        <v>156</v>
      </c>
      <c r="I107" s="151">
        <v>1661070</v>
      </c>
      <c r="J107" s="151">
        <v>39657231</v>
      </c>
      <c r="K107" s="151">
        <v>118842832</v>
      </c>
      <c r="L107" s="151">
        <v>179</v>
      </c>
      <c r="M107" s="151">
        <v>1264280</v>
      </c>
      <c r="N107" s="151">
        <v>199</v>
      </c>
      <c r="O107" s="151">
        <v>13750647</v>
      </c>
      <c r="P107" s="151">
        <v>219</v>
      </c>
      <c r="Q107" s="151">
        <v>227</v>
      </c>
      <c r="R107" s="151">
        <v>246</v>
      </c>
      <c r="S107" s="151">
        <v>33984522</v>
      </c>
      <c r="T107" s="151">
        <v>263</v>
      </c>
      <c r="U107" s="151">
        <v>3809577</v>
      </c>
      <c r="V107" s="151">
        <v>60961028</v>
      </c>
      <c r="W107" s="151">
        <v>305</v>
      </c>
      <c r="X107" s="151">
        <v>68463408</v>
      </c>
      <c r="Y107" s="151">
        <v>331</v>
      </c>
      <c r="Z107" s="151">
        <v>2054599</v>
      </c>
      <c r="AA107" s="151">
        <v>26379773</v>
      </c>
      <c r="AB107" s="151">
        <v>14981427</v>
      </c>
      <c r="AC107" s="151">
        <v>197982668</v>
      </c>
      <c r="AD107" s="151">
        <v>80980532</v>
      </c>
      <c r="AE107" s="151">
        <v>441</v>
      </c>
      <c r="AF107" s="151"/>
      <c r="AG107" s="151"/>
      <c r="AH107" s="151"/>
      <c r="AI107" s="151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</row>
    <row r="108" spans="2:72" x14ac:dyDescent="0.35">
      <c r="B108" s="9">
        <v>5</v>
      </c>
      <c r="C108" s="122" t="str">
        <f>'Option inputs'!$C$19</f>
        <v>Option 2B</v>
      </c>
      <c r="D108" s="62"/>
      <c r="E108" s="68" t="s">
        <v>35</v>
      </c>
      <c r="F108" s="151"/>
      <c r="G108" s="151">
        <v>270690935</v>
      </c>
      <c r="H108" s="151">
        <v>173</v>
      </c>
      <c r="I108" s="151">
        <v>2436800</v>
      </c>
      <c r="J108" s="151">
        <v>43372275</v>
      </c>
      <c r="K108" s="151">
        <v>109316975</v>
      </c>
      <c r="L108" s="151">
        <v>199</v>
      </c>
      <c r="M108" s="151">
        <v>209</v>
      </c>
      <c r="N108" s="151">
        <v>222</v>
      </c>
      <c r="O108" s="151">
        <v>8635760</v>
      </c>
      <c r="P108" s="151">
        <v>246</v>
      </c>
      <c r="Q108" s="151">
        <v>257</v>
      </c>
      <c r="R108" s="151">
        <v>274</v>
      </c>
      <c r="S108" s="151">
        <v>27977986</v>
      </c>
      <c r="T108" s="151">
        <v>297</v>
      </c>
      <c r="U108" s="151">
        <v>1867707</v>
      </c>
      <c r="V108" s="151">
        <v>57981605</v>
      </c>
      <c r="W108" s="151">
        <v>346</v>
      </c>
      <c r="X108" s="151">
        <v>73590465</v>
      </c>
      <c r="Y108" s="151">
        <v>379</v>
      </c>
      <c r="Z108" s="151">
        <v>989199</v>
      </c>
      <c r="AA108" s="151">
        <v>27937900</v>
      </c>
      <c r="AB108" s="151">
        <v>5202984</v>
      </c>
      <c r="AC108" s="151">
        <v>150954201</v>
      </c>
      <c r="AD108" s="151">
        <v>60434033</v>
      </c>
      <c r="AE108" s="151">
        <v>513</v>
      </c>
      <c r="AF108" s="151"/>
      <c r="AG108" s="151"/>
      <c r="AH108" s="151"/>
      <c r="AI108" s="151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2"/>
      <c r="BM108" s="102"/>
      <c r="BN108" s="102"/>
      <c r="BO108" s="102"/>
      <c r="BP108" s="102"/>
      <c r="BQ108" s="102"/>
      <c r="BR108" s="102"/>
      <c r="BS108" s="102"/>
      <c r="BT108" s="102"/>
    </row>
    <row r="109" spans="2:72" x14ac:dyDescent="0.35">
      <c r="B109" s="9">
        <v>6</v>
      </c>
      <c r="C109" s="122" t="str">
        <f>'Option inputs'!$C$20</f>
        <v>Option 2C</v>
      </c>
      <c r="D109" s="62"/>
      <c r="E109" s="68" t="s">
        <v>35</v>
      </c>
      <c r="F109" s="151"/>
      <c r="G109" s="151">
        <v>280122541</v>
      </c>
      <c r="H109" s="151">
        <v>394</v>
      </c>
      <c r="I109" s="151">
        <v>6688924</v>
      </c>
      <c r="J109" s="151">
        <v>55322522</v>
      </c>
      <c r="K109" s="151">
        <v>36176214</v>
      </c>
      <c r="L109" s="151">
        <v>496</v>
      </c>
      <c r="M109" s="151">
        <v>525</v>
      </c>
      <c r="N109" s="151">
        <v>557</v>
      </c>
      <c r="O109" s="151">
        <v>587</v>
      </c>
      <c r="P109" s="151">
        <v>620</v>
      </c>
      <c r="Q109" s="151">
        <v>656</v>
      </c>
      <c r="R109" s="151">
        <v>696</v>
      </c>
      <c r="S109" s="151">
        <v>1571673</v>
      </c>
      <c r="T109" s="151">
        <v>776</v>
      </c>
      <c r="U109" s="151">
        <v>821</v>
      </c>
      <c r="V109" s="151">
        <v>57979258</v>
      </c>
      <c r="W109" s="151">
        <v>918</v>
      </c>
      <c r="X109" s="151">
        <v>73595959</v>
      </c>
      <c r="Y109" s="151">
        <v>1026</v>
      </c>
      <c r="Z109" s="151">
        <v>988977</v>
      </c>
      <c r="AA109" s="151">
        <v>27939590</v>
      </c>
      <c r="AB109" s="151">
        <v>5202800</v>
      </c>
      <c r="AC109" s="151">
        <v>150951390</v>
      </c>
      <c r="AD109" s="151">
        <v>60437907</v>
      </c>
      <c r="AE109" s="151">
        <v>1434</v>
      </c>
      <c r="AF109" s="151"/>
      <c r="AG109" s="151"/>
      <c r="AH109" s="151"/>
      <c r="AI109" s="151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</row>
    <row r="110" spans="2:72" x14ac:dyDescent="0.35">
      <c r="B110" s="9">
        <v>7</v>
      </c>
      <c r="C110" s="122" t="str">
        <f>'Option inputs'!$C$21</f>
        <v>Option 3A</v>
      </c>
      <c r="D110" s="62"/>
      <c r="E110" s="68" t="s">
        <v>35</v>
      </c>
      <c r="F110" s="130"/>
      <c r="G110" s="130">
        <v>258303247</v>
      </c>
      <c r="H110" s="151">
        <v>217</v>
      </c>
      <c r="I110" s="151">
        <v>225</v>
      </c>
      <c r="J110" s="151">
        <v>29907240</v>
      </c>
      <c r="K110" s="151">
        <v>175428421</v>
      </c>
      <c r="L110" s="151">
        <v>264</v>
      </c>
      <c r="M110" s="151">
        <v>11400721</v>
      </c>
      <c r="N110" s="151">
        <v>291</v>
      </c>
      <c r="O110" s="151">
        <v>55643763</v>
      </c>
      <c r="P110" s="151">
        <v>323</v>
      </c>
      <c r="Q110" s="151">
        <v>338</v>
      </c>
      <c r="R110" s="151">
        <v>364</v>
      </c>
      <c r="S110" s="151">
        <v>63968894</v>
      </c>
      <c r="T110" s="151">
        <v>393</v>
      </c>
      <c r="U110" s="151">
        <v>6396716</v>
      </c>
      <c r="V110" s="151">
        <v>61570507</v>
      </c>
      <c r="W110" s="151">
        <v>452</v>
      </c>
      <c r="X110" s="151">
        <v>81168301</v>
      </c>
      <c r="Y110" s="151">
        <v>488</v>
      </c>
      <c r="Z110" s="151">
        <v>2054760</v>
      </c>
      <c r="AA110" s="151">
        <v>21011697</v>
      </c>
      <c r="AB110" s="151">
        <v>11849775</v>
      </c>
      <c r="AC110" s="151">
        <v>198769265</v>
      </c>
      <c r="AD110" s="151">
        <v>69679533</v>
      </c>
      <c r="AE110" s="151">
        <v>638</v>
      </c>
      <c r="AF110" s="151"/>
      <c r="AG110" s="151"/>
      <c r="AH110" s="151"/>
      <c r="AI110" s="151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2"/>
      <c r="BD110" s="102"/>
      <c r="BE110" s="102"/>
      <c r="BF110" s="102"/>
      <c r="BG110" s="102"/>
      <c r="BH110" s="102"/>
      <c r="BI110" s="102"/>
      <c r="BJ110" s="102"/>
      <c r="BK110" s="102"/>
      <c r="BL110" s="102"/>
      <c r="BM110" s="102"/>
      <c r="BN110" s="102"/>
      <c r="BO110" s="102"/>
      <c r="BP110" s="102"/>
      <c r="BQ110" s="102"/>
      <c r="BR110" s="102"/>
      <c r="BS110" s="102"/>
      <c r="BT110" s="102"/>
    </row>
    <row r="111" spans="2:72" x14ac:dyDescent="0.35">
      <c r="B111" s="64">
        <f>+'Option inputs'!$B$22</f>
        <v>8</v>
      </c>
      <c r="C111" s="122" t="str">
        <f>'Option inputs'!$C$22</f>
        <v>Option 3B</v>
      </c>
      <c r="D111" s="62"/>
      <c r="E111" s="68" t="s">
        <v>35</v>
      </c>
      <c r="F111" s="130"/>
      <c r="G111" s="130">
        <v>259953632</v>
      </c>
      <c r="H111" s="151">
        <v>284</v>
      </c>
      <c r="I111" s="151">
        <v>296</v>
      </c>
      <c r="J111" s="151">
        <v>31702575</v>
      </c>
      <c r="K111" s="151">
        <v>159546357</v>
      </c>
      <c r="L111" s="151">
        <v>356</v>
      </c>
      <c r="M111" s="151">
        <v>8722354</v>
      </c>
      <c r="N111" s="151">
        <v>399</v>
      </c>
      <c r="O111" s="151">
        <v>44560299</v>
      </c>
      <c r="P111" s="151">
        <v>446</v>
      </c>
      <c r="Q111" s="151">
        <v>471</v>
      </c>
      <c r="R111" s="151">
        <v>500</v>
      </c>
      <c r="S111" s="151">
        <v>55518319</v>
      </c>
      <c r="T111" s="151">
        <v>558</v>
      </c>
      <c r="U111" s="151">
        <v>5763457</v>
      </c>
      <c r="V111" s="151">
        <v>57161576</v>
      </c>
      <c r="W111" s="151">
        <v>660</v>
      </c>
      <c r="X111" s="151">
        <v>73659203</v>
      </c>
      <c r="Y111" s="151">
        <v>738</v>
      </c>
      <c r="Z111" s="151">
        <v>726658</v>
      </c>
      <c r="AA111" s="151">
        <v>27544883</v>
      </c>
      <c r="AB111" s="151">
        <v>5360722</v>
      </c>
      <c r="AC111" s="151">
        <v>152329479</v>
      </c>
      <c r="AD111" s="151">
        <v>62909060</v>
      </c>
      <c r="AE111" s="151">
        <v>1032</v>
      </c>
      <c r="AF111" s="151"/>
      <c r="AG111" s="151"/>
      <c r="AH111" s="151"/>
      <c r="AI111" s="151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2"/>
      <c r="BD111" s="102"/>
      <c r="BE111" s="102"/>
      <c r="BF111" s="102"/>
      <c r="BG111" s="102"/>
      <c r="BH111" s="102"/>
      <c r="BI111" s="102"/>
      <c r="BJ111" s="102"/>
      <c r="BK111" s="102"/>
      <c r="BL111" s="102"/>
      <c r="BM111" s="102"/>
      <c r="BN111" s="102"/>
      <c r="BO111" s="102"/>
      <c r="BP111" s="102"/>
      <c r="BQ111" s="102"/>
      <c r="BR111" s="102"/>
      <c r="BS111" s="102"/>
      <c r="BT111" s="102"/>
    </row>
    <row r="112" spans="2:72" x14ac:dyDescent="0.35">
      <c r="B112" s="64">
        <f>+'Option inputs'!$B$23</f>
        <v>9</v>
      </c>
      <c r="C112" s="122" t="str">
        <f>'Option inputs'!$C$23</f>
        <v>Option 3C</v>
      </c>
      <c r="D112" s="62"/>
      <c r="E112" s="68" t="s">
        <v>35</v>
      </c>
      <c r="F112" s="130"/>
      <c r="G112" s="130">
        <v>280122312</v>
      </c>
      <c r="H112" s="151">
        <v>282</v>
      </c>
      <c r="I112" s="151">
        <v>6688796</v>
      </c>
      <c r="J112" s="151">
        <v>55322484</v>
      </c>
      <c r="K112" s="151">
        <v>65962678</v>
      </c>
      <c r="L112" s="151">
        <v>350</v>
      </c>
      <c r="M112" s="151">
        <v>370</v>
      </c>
      <c r="N112" s="151">
        <v>392</v>
      </c>
      <c r="O112" s="151">
        <v>412</v>
      </c>
      <c r="P112" s="151">
        <v>436</v>
      </c>
      <c r="Q112" s="151">
        <v>460</v>
      </c>
      <c r="R112" s="151">
        <v>487</v>
      </c>
      <c r="S112" s="151">
        <v>1571504</v>
      </c>
      <c r="T112" s="151">
        <v>534</v>
      </c>
      <c r="U112" s="151">
        <v>561</v>
      </c>
      <c r="V112" s="151">
        <v>57176233</v>
      </c>
      <c r="W112" s="151">
        <v>616</v>
      </c>
      <c r="X112" s="151">
        <v>73665616</v>
      </c>
      <c r="Y112" s="151">
        <v>674</v>
      </c>
      <c r="Z112" s="151">
        <v>730554</v>
      </c>
      <c r="AA112" s="151">
        <v>27544143</v>
      </c>
      <c r="AB112" s="151">
        <v>5365433</v>
      </c>
      <c r="AC112" s="151">
        <v>152325535</v>
      </c>
      <c r="AD112" s="151">
        <v>62910515</v>
      </c>
      <c r="AE112" s="151">
        <v>889</v>
      </c>
      <c r="AF112" s="151"/>
      <c r="AG112" s="151"/>
      <c r="AH112" s="151"/>
      <c r="AI112" s="151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2"/>
      <c r="BR112" s="102"/>
      <c r="BS112" s="102"/>
      <c r="BT112" s="102"/>
    </row>
    <row r="113" spans="2:72" x14ac:dyDescent="0.35">
      <c r="B113" s="64">
        <f>+'Option inputs'!$B$24</f>
        <v>10</v>
      </c>
      <c r="C113" s="122" t="str">
        <f>'Option inputs'!$C$24</f>
        <v>Option 4A</v>
      </c>
      <c r="D113" s="62"/>
      <c r="E113" s="68" t="s">
        <v>35</v>
      </c>
      <c r="F113" s="130"/>
      <c r="G113" s="130">
        <v>259794218</v>
      </c>
      <c r="H113" s="151">
        <v>196</v>
      </c>
      <c r="I113" s="151">
        <v>203</v>
      </c>
      <c r="J113" s="151">
        <v>31529738</v>
      </c>
      <c r="K113" s="151">
        <v>182551879</v>
      </c>
      <c r="L113" s="151">
        <v>240</v>
      </c>
      <c r="M113" s="151">
        <v>9334037</v>
      </c>
      <c r="N113" s="151">
        <v>268</v>
      </c>
      <c r="O113" s="151">
        <v>46214745</v>
      </c>
      <c r="P113" s="151">
        <v>292</v>
      </c>
      <c r="Q113" s="151">
        <v>307</v>
      </c>
      <c r="R113" s="151">
        <v>324</v>
      </c>
      <c r="S113" s="151">
        <v>57766885</v>
      </c>
      <c r="T113" s="151">
        <v>357</v>
      </c>
      <c r="U113" s="151">
        <v>6379969</v>
      </c>
      <c r="V113" s="151">
        <v>61422607</v>
      </c>
      <c r="W113" s="151">
        <v>437</v>
      </c>
      <c r="X113" s="151">
        <v>79408995</v>
      </c>
      <c r="Y113" s="151">
        <v>461</v>
      </c>
      <c r="Z113" s="151">
        <v>2054742</v>
      </c>
      <c r="AA113" s="151">
        <v>21012021</v>
      </c>
      <c r="AB113" s="151">
        <v>11832203</v>
      </c>
      <c r="AC113" s="151">
        <v>199208027</v>
      </c>
      <c r="AD113" s="151">
        <v>69919284</v>
      </c>
      <c r="AE113" s="151">
        <v>636</v>
      </c>
      <c r="AF113" s="151"/>
      <c r="AG113" s="151"/>
      <c r="AH113" s="151"/>
      <c r="AI113" s="151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02"/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</row>
    <row r="114" spans="2:72" x14ac:dyDescent="0.35">
      <c r="B114" s="64">
        <f>+'Option inputs'!$B$25</f>
        <v>11</v>
      </c>
      <c r="C114" s="122" t="str">
        <f>'Option inputs'!$C$25</f>
        <v>Option 4B</v>
      </c>
      <c r="D114" s="62"/>
      <c r="E114" s="68" t="s">
        <v>35</v>
      </c>
      <c r="F114" s="130"/>
      <c r="G114" s="130">
        <v>265400321</v>
      </c>
      <c r="H114" s="151">
        <v>71</v>
      </c>
      <c r="I114" s="151">
        <v>1236140</v>
      </c>
      <c r="J114" s="151">
        <v>37622556</v>
      </c>
      <c r="K114" s="151">
        <v>137896208</v>
      </c>
      <c r="L114" s="151">
        <v>87</v>
      </c>
      <c r="M114" s="151">
        <v>1174241</v>
      </c>
      <c r="N114" s="151">
        <v>98</v>
      </c>
      <c r="O114" s="151">
        <v>13379177</v>
      </c>
      <c r="P114" s="151">
        <v>111</v>
      </c>
      <c r="Q114" s="151">
        <v>116</v>
      </c>
      <c r="R114" s="151">
        <v>126</v>
      </c>
      <c r="S114" s="151">
        <v>33501213</v>
      </c>
      <c r="T114" s="151">
        <v>139</v>
      </c>
      <c r="U114" s="151">
        <v>4800888</v>
      </c>
      <c r="V114" s="151">
        <v>56387131</v>
      </c>
      <c r="W114" s="151">
        <v>165</v>
      </c>
      <c r="X114" s="151">
        <v>65471238</v>
      </c>
      <c r="Y114" s="151">
        <v>183</v>
      </c>
      <c r="Z114" s="151">
        <v>13591</v>
      </c>
      <c r="AA114" s="151">
        <v>26649724</v>
      </c>
      <c r="AB114" s="151">
        <v>5037841</v>
      </c>
      <c r="AC114" s="151">
        <v>122028278</v>
      </c>
      <c r="AD114" s="151">
        <v>51886289</v>
      </c>
      <c r="AE114" s="151">
        <v>257</v>
      </c>
      <c r="AF114" s="151"/>
      <c r="AG114" s="151"/>
      <c r="AH114" s="151"/>
      <c r="AI114" s="151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BJ114" s="102"/>
      <c r="BK114" s="102"/>
      <c r="BL114" s="102"/>
      <c r="BM114" s="102"/>
      <c r="BN114" s="102"/>
      <c r="BO114" s="102"/>
      <c r="BP114" s="102"/>
      <c r="BQ114" s="102"/>
      <c r="BR114" s="102"/>
      <c r="BS114" s="102"/>
      <c r="BT114" s="102"/>
    </row>
    <row r="115" spans="2:72" x14ac:dyDescent="0.35">
      <c r="B115" s="64">
        <f>+'Option inputs'!$B$26</f>
        <v>12</v>
      </c>
      <c r="C115" s="122" t="str">
        <f>'Option inputs'!$C$26</f>
        <v>Option 4C</v>
      </c>
      <c r="D115" s="62"/>
      <c r="E115" s="68" t="s">
        <v>35</v>
      </c>
      <c r="F115" s="130"/>
      <c r="G115" s="130">
        <v>282999402</v>
      </c>
      <c r="H115" s="151">
        <v>360</v>
      </c>
      <c r="I115" s="151">
        <v>7985881</v>
      </c>
      <c r="J115" s="151">
        <v>59050771</v>
      </c>
      <c r="K115" s="151">
        <v>67677284</v>
      </c>
      <c r="L115" s="151">
        <v>443</v>
      </c>
      <c r="M115" s="151">
        <v>468</v>
      </c>
      <c r="N115" s="151">
        <v>495</v>
      </c>
      <c r="O115" s="151">
        <v>521</v>
      </c>
      <c r="P115" s="151">
        <v>551</v>
      </c>
      <c r="Q115" s="151">
        <v>580</v>
      </c>
      <c r="R115" s="151">
        <v>615</v>
      </c>
      <c r="S115" s="151">
        <v>645</v>
      </c>
      <c r="T115" s="151">
        <v>681</v>
      </c>
      <c r="U115" s="151">
        <v>717</v>
      </c>
      <c r="V115" s="151">
        <v>56365408</v>
      </c>
      <c r="W115" s="151">
        <v>791</v>
      </c>
      <c r="X115" s="151">
        <v>65478908</v>
      </c>
      <c r="Y115" s="151">
        <v>875</v>
      </c>
      <c r="Z115" s="151">
        <v>14306</v>
      </c>
      <c r="AA115" s="151">
        <v>26652062</v>
      </c>
      <c r="AB115" s="151">
        <v>5038871</v>
      </c>
      <c r="AC115" s="151">
        <v>122030101</v>
      </c>
      <c r="AD115" s="151">
        <v>51888166</v>
      </c>
      <c r="AE115" s="151">
        <v>1186</v>
      </c>
      <c r="AF115" s="151"/>
      <c r="AG115" s="151"/>
      <c r="AH115" s="151"/>
      <c r="AI115" s="151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2"/>
      <c r="BR115" s="102"/>
      <c r="BS115" s="102"/>
      <c r="BT115" s="102"/>
    </row>
    <row r="116" spans="2:72" x14ac:dyDescent="0.35">
      <c r="E116" s="66"/>
      <c r="AF116" s="46"/>
      <c r="AG116" s="46"/>
      <c r="AH116" s="46"/>
      <c r="AI116" s="46"/>
    </row>
    <row r="117" spans="2:72" x14ac:dyDescent="0.35">
      <c r="B117" s="59" t="s">
        <v>14</v>
      </c>
      <c r="C117" s="59" t="s">
        <v>13</v>
      </c>
      <c r="D117" s="59" t="str">
        <f>'Interface and charts'!$L$6</f>
        <v>Fast change</v>
      </c>
      <c r="E117" s="63" t="s">
        <v>7</v>
      </c>
      <c r="F117" s="171" t="str">
        <f>Calculation!G$56</f>
        <v>FY 2019-20</v>
      </c>
      <c r="G117" s="171" t="str">
        <f>Calculation!H$56</f>
        <v>FY 2020-21</v>
      </c>
      <c r="H117" s="171" t="str">
        <f>Calculation!I$56</f>
        <v>FY 2021-22</v>
      </c>
      <c r="I117" s="171" t="str">
        <f>Calculation!J$56</f>
        <v>FY 2022-23</v>
      </c>
      <c r="J117" s="171" t="str">
        <f>Calculation!K$56</f>
        <v>FY 2023-24</v>
      </c>
      <c r="K117" s="171" t="str">
        <f>Calculation!L$56</f>
        <v>FY 2024-25</v>
      </c>
      <c r="L117" s="171" t="str">
        <f>Calculation!M$56</f>
        <v>FY 2025-26</v>
      </c>
      <c r="M117" s="171" t="str">
        <f>Calculation!N$56</f>
        <v>FY 2026-27</v>
      </c>
      <c r="N117" s="171" t="str">
        <f>Calculation!O$56</f>
        <v>FY 2027-28</v>
      </c>
      <c r="O117" s="171" t="str">
        <f>Calculation!P$56</f>
        <v>FY 2028-29</v>
      </c>
      <c r="P117" s="171" t="str">
        <f>Calculation!Q$56</f>
        <v>FY 2029-30</v>
      </c>
      <c r="Q117" s="171" t="str">
        <f>Calculation!R$56</f>
        <v>FY 2030-31</v>
      </c>
      <c r="R117" s="171" t="str">
        <f>Calculation!S$56</f>
        <v>FY 2031-32</v>
      </c>
      <c r="S117" s="171" t="str">
        <f>Calculation!T$56</f>
        <v>FY 2032-33</v>
      </c>
      <c r="T117" s="171" t="str">
        <f>Calculation!U$56</f>
        <v>FY 2033-34</v>
      </c>
      <c r="U117" s="171" t="str">
        <f>Calculation!V$56</f>
        <v>FY 2034-35</v>
      </c>
      <c r="V117" s="171" t="str">
        <f>Calculation!W$56</f>
        <v>FY 2035-36</v>
      </c>
      <c r="W117" s="171" t="str">
        <f>Calculation!X$56</f>
        <v>FY 2036-37</v>
      </c>
      <c r="X117" s="171" t="str">
        <f>Calculation!Y$56</f>
        <v>FY 2037-38</v>
      </c>
      <c r="Y117" s="171" t="str">
        <f>Calculation!Z$56</f>
        <v>FY 2038-39</v>
      </c>
      <c r="Z117" s="171" t="str">
        <f>Calculation!AA$56</f>
        <v>FY 2039-40</v>
      </c>
      <c r="AA117" s="171" t="str">
        <f>Calculation!AB$56</f>
        <v>FY 2040-41</v>
      </c>
      <c r="AB117" s="171" t="str">
        <f>Calculation!AC$56</f>
        <v>FY 2041-42</v>
      </c>
      <c r="AC117" s="171" t="str">
        <f>Calculation!AD$56</f>
        <v>FY 2042-43</v>
      </c>
      <c r="AD117" s="171" t="str">
        <f>Calculation!AE$56</f>
        <v>FY 2043-44</v>
      </c>
      <c r="AE117" s="171" t="str">
        <f>Calculation!AF$56</f>
        <v>FY 2044-45</v>
      </c>
      <c r="AF117" s="171" t="str">
        <f>Calculation!AG$56</f>
        <v>FY 2045-46</v>
      </c>
      <c r="AG117" s="171" t="str">
        <f>Calculation!AH$56</f>
        <v>FY 2046-47</v>
      </c>
      <c r="AH117" s="171" t="str">
        <f>Calculation!AI$56</f>
        <v>FY 2047-48</v>
      </c>
      <c r="AI117" s="171" t="str">
        <f>Calculation!AJ$56</f>
        <v>FY 2048-49</v>
      </c>
    </row>
    <row r="118" spans="2:72" x14ac:dyDescent="0.35">
      <c r="B118" s="9">
        <v>0</v>
      </c>
      <c r="C118" s="123" t="str">
        <f>'Option inputs'!$C$14</f>
        <v>Base case</v>
      </c>
      <c r="D118" s="62"/>
      <c r="E118" s="68" t="s">
        <v>35</v>
      </c>
      <c r="F118" s="151"/>
      <c r="G118" s="151">
        <v>254716294</v>
      </c>
      <c r="H118" s="151">
        <v>3775469</v>
      </c>
      <c r="I118" s="151">
        <v>6832758</v>
      </c>
      <c r="J118" s="151">
        <v>11023638</v>
      </c>
      <c r="K118" s="151">
        <v>179852826</v>
      </c>
      <c r="L118" s="151">
        <v>646</v>
      </c>
      <c r="M118" s="151">
        <v>20662841</v>
      </c>
      <c r="N118" s="151">
        <v>721</v>
      </c>
      <c r="O118" s="151">
        <v>42408695</v>
      </c>
      <c r="P118" s="151">
        <v>5444217</v>
      </c>
      <c r="Q118" s="151">
        <v>807</v>
      </c>
      <c r="R118" s="151">
        <v>862</v>
      </c>
      <c r="S118" s="151">
        <v>881</v>
      </c>
      <c r="T118" s="151">
        <v>42530844</v>
      </c>
      <c r="U118" s="151">
        <v>29964348</v>
      </c>
      <c r="V118" s="151">
        <v>10050811</v>
      </c>
      <c r="W118" s="151">
        <v>1071</v>
      </c>
      <c r="X118" s="151">
        <v>59744651</v>
      </c>
      <c r="Y118" s="151">
        <v>1169</v>
      </c>
      <c r="Z118" s="151">
        <v>1208</v>
      </c>
      <c r="AA118" s="151">
        <v>1284</v>
      </c>
      <c r="AB118" s="151">
        <v>1320</v>
      </c>
      <c r="AC118" s="151">
        <v>1386</v>
      </c>
      <c r="AD118" s="151">
        <v>24293587</v>
      </c>
      <c r="AE118" s="151">
        <v>1530</v>
      </c>
      <c r="AF118" s="151"/>
      <c r="AG118" s="151"/>
      <c r="AH118" s="151"/>
      <c r="AI118" s="151"/>
    </row>
    <row r="119" spans="2:72" x14ac:dyDescent="0.35">
      <c r="B119" s="9">
        <v>1</v>
      </c>
      <c r="C119" s="122" t="str">
        <f>'Option inputs'!$C$15</f>
        <v>Option 1A</v>
      </c>
      <c r="D119" s="62"/>
      <c r="E119" s="68" t="s">
        <v>35</v>
      </c>
      <c r="F119" s="151"/>
      <c r="G119" s="151">
        <v>254716556</v>
      </c>
      <c r="H119" s="151">
        <v>3776036</v>
      </c>
      <c r="I119" s="151">
        <v>6832992</v>
      </c>
      <c r="J119" s="151">
        <v>17101021</v>
      </c>
      <c r="K119" s="151">
        <v>143925056</v>
      </c>
      <c r="L119" s="151">
        <v>1236</v>
      </c>
      <c r="M119" s="151">
        <v>1257</v>
      </c>
      <c r="N119" s="151">
        <v>1325</v>
      </c>
      <c r="O119" s="151">
        <v>33600215</v>
      </c>
      <c r="P119" s="151">
        <v>1461</v>
      </c>
      <c r="Q119" s="151">
        <v>1516</v>
      </c>
      <c r="R119" s="151">
        <v>1608</v>
      </c>
      <c r="S119" s="151">
        <v>1678</v>
      </c>
      <c r="T119" s="151">
        <v>2094171</v>
      </c>
      <c r="U119" s="151">
        <v>24679264</v>
      </c>
      <c r="V119" s="151">
        <v>12182237</v>
      </c>
      <c r="W119" s="151">
        <v>2073</v>
      </c>
      <c r="X119" s="151">
        <v>63866613</v>
      </c>
      <c r="Y119" s="151">
        <v>2312</v>
      </c>
      <c r="Z119" s="151">
        <v>2430</v>
      </c>
      <c r="AA119" s="151">
        <v>2628</v>
      </c>
      <c r="AB119" s="151">
        <v>2739</v>
      </c>
      <c r="AC119" s="151">
        <v>1427185</v>
      </c>
      <c r="AD119" s="151">
        <v>24736443</v>
      </c>
      <c r="AE119" s="151">
        <v>7890</v>
      </c>
      <c r="AF119" s="151"/>
      <c r="AG119" s="151"/>
      <c r="AH119" s="151"/>
      <c r="AI119" s="151"/>
    </row>
    <row r="120" spans="2:72" x14ac:dyDescent="0.35">
      <c r="B120" s="9">
        <v>2</v>
      </c>
      <c r="C120" s="122" t="str">
        <f>'Option inputs'!$C$16</f>
        <v>Option 1B</v>
      </c>
      <c r="D120" s="62"/>
      <c r="E120" s="68" t="s">
        <v>35</v>
      </c>
      <c r="F120" s="151"/>
      <c r="G120" s="151">
        <v>254716284</v>
      </c>
      <c r="H120" s="151">
        <v>3775578</v>
      </c>
      <c r="I120" s="151">
        <v>6832787</v>
      </c>
      <c r="J120" s="151">
        <v>17100932</v>
      </c>
      <c r="K120" s="151">
        <v>147393709</v>
      </c>
      <c r="L120" s="151">
        <v>833</v>
      </c>
      <c r="M120" s="151">
        <v>879</v>
      </c>
      <c r="N120" s="151">
        <v>931</v>
      </c>
      <c r="O120" s="151">
        <v>979</v>
      </c>
      <c r="P120" s="151">
        <v>1031</v>
      </c>
      <c r="Q120" s="151">
        <v>1081</v>
      </c>
      <c r="R120" s="151">
        <v>1147</v>
      </c>
      <c r="S120" s="151">
        <v>1194</v>
      </c>
      <c r="T120" s="151">
        <v>1264</v>
      </c>
      <c r="U120" s="151">
        <v>21601617</v>
      </c>
      <c r="V120" s="151">
        <v>2087667</v>
      </c>
      <c r="W120" s="151">
        <v>1482</v>
      </c>
      <c r="X120" s="151">
        <v>58287346</v>
      </c>
      <c r="Y120" s="151">
        <v>1609</v>
      </c>
      <c r="Z120" s="151">
        <v>1692</v>
      </c>
      <c r="AA120" s="151">
        <v>1791</v>
      </c>
      <c r="AB120" s="151">
        <v>1862</v>
      </c>
      <c r="AC120" s="151">
        <v>1554348</v>
      </c>
      <c r="AD120" s="151">
        <v>24909737</v>
      </c>
      <c r="AE120" s="151">
        <v>2176</v>
      </c>
      <c r="AF120" s="151"/>
      <c r="AG120" s="151"/>
      <c r="AH120" s="151"/>
      <c r="AI120" s="151"/>
    </row>
    <row r="121" spans="2:72" x14ac:dyDescent="0.35">
      <c r="B121" s="9">
        <v>3</v>
      </c>
      <c r="C121" s="122" t="str">
        <f>'Option inputs'!$C$17</f>
        <v>Option 1C</v>
      </c>
      <c r="D121" s="62"/>
      <c r="E121" s="68" t="s">
        <v>35</v>
      </c>
      <c r="F121" s="151"/>
      <c r="G121" s="151">
        <v>254716189</v>
      </c>
      <c r="H121" s="151">
        <v>3775039</v>
      </c>
      <c r="I121" s="151">
        <v>6832432</v>
      </c>
      <c r="J121" s="151">
        <v>17100969</v>
      </c>
      <c r="K121" s="151">
        <v>203736018</v>
      </c>
      <c r="L121" s="151">
        <v>55</v>
      </c>
      <c r="M121" s="151">
        <v>58</v>
      </c>
      <c r="N121" s="151">
        <v>61</v>
      </c>
      <c r="O121" s="151">
        <v>97572</v>
      </c>
      <c r="P121" s="151">
        <v>69</v>
      </c>
      <c r="Q121" s="151">
        <v>73</v>
      </c>
      <c r="R121" s="151">
        <v>77</v>
      </c>
      <c r="S121" s="151">
        <v>82</v>
      </c>
      <c r="T121" s="151">
        <v>87</v>
      </c>
      <c r="U121" s="151">
        <v>21545467</v>
      </c>
      <c r="V121" s="151">
        <v>2129726</v>
      </c>
      <c r="W121" s="151">
        <v>103</v>
      </c>
      <c r="X121" s="151">
        <v>58296058</v>
      </c>
      <c r="Y121" s="151">
        <v>115</v>
      </c>
      <c r="Z121" s="151">
        <v>123</v>
      </c>
      <c r="AA121" s="151">
        <v>129</v>
      </c>
      <c r="AB121" s="151">
        <v>137</v>
      </c>
      <c r="AC121" s="151">
        <v>1543812</v>
      </c>
      <c r="AD121" s="151">
        <v>24907826</v>
      </c>
      <c r="AE121" s="151">
        <v>163</v>
      </c>
      <c r="AF121" s="151"/>
      <c r="AG121" s="151"/>
      <c r="AH121" s="151"/>
      <c r="AI121" s="151"/>
    </row>
    <row r="122" spans="2:72" x14ac:dyDescent="0.35">
      <c r="B122" s="9">
        <v>4</v>
      </c>
      <c r="C122" s="122" t="str">
        <f>'Option inputs'!$C$18</f>
        <v>Option 2A</v>
      </c>
      <c r="D122" s="62"/>
      <c r="E122" s="68" t="s">
        <v>35</v>
      </c>
      <c r="F122" s="151"/>
      <c r="G122" s="151">
        <v>254716170</v>
      </c>
      <c r="H122" s="151">
        <v>3775067</v>
      </c>
      <c r="I122" s="151">
        <v>6832428</v>
      </c>
      <c r="J122" s="151">
        <v>17100931</v>
      </c>
      <c r="K122" s="151">
        <v>42433534</v>
      </c>
      <c r="L122" s="151">
        <v>102</v>
      </c>
      <c r="M122" s="151">
        <v>108</v>
      </c>
      <c r="N122" s="151">
        <v>115</v>
      </c>
      <c r="O122" s="151">
        <v>23661587</v>
      </c>
      <c r="P122" s="151">
        <v>129</v>
      </c>
      <c r="Q122" s="151">
        <v>136</v>
      </c>
      <c r="R122" s="151">
        <v>145</v>
      </c>
      <c r="S122" s="151">
        <v>153</v>
      </c>
      <c r="T122" s="151">
        <v>162</v>
      </c>
      <c r="U122" s="151">
        <v>18263814</v>
      </c>
      <c r="V122" s="151">
        <v>5314233</v>
      </c>
      <c r="W122" s="151">
        <v>192</v>
      </c>
      <c r="X122" s="151">
        <v>56335348</v>
      </c>
      <c r="Y122" s="151">
        <v>216</v>
      </c>
      <c r="Z122" s="151">
        <v>229</v>
      </c>
      <c r="AA122" s="151">
        <v>242</v>
      </c>
      <c r="AB122" s="151">
        <v>257</v>
      </c>
      <c r="AC122" s="151">
        <v>1292166</v>
      </c>
      <c r="AD122" s="151">
        <v>23151634</v>
      </c>
      <c r="AE122" s="151">
        <v>305</v>
      </c>
      <c r="AF122" s="151"/>
      <c r="AG122" s="151"/>
      <c r="AH122" s="151"/>
      <c r="AI122" s="151"/>
    </row>
    <row r="123" spans="2:72" x14ac:dyDescent="0.35">
      <c r="B123" s="9">
        <v>5</v>
      </c>
      <c r="C123" s="122" t="str">
        <f>'Option inputs'!$C$19</f>
        <v>Option 2B</v>
      </c>
      <c r="D123" s="62"/>
      <c r="E123" s="68" t="s">
        <v>35</v>
      </c>
      <c r="F123" s="151"/>
      <c r="G123" s="151">
        <v>254716241</v>
      </c>
      <c r="H123" s="151">
        <v>3775496</v>
      </c>
      <c r="I123" s="151">
        <v>6832758</v>
      </c>
      <c r="J123" s="151">
        <v>17101053</v>
      </c>
      <c r="K123" s="151">
        <v>36952077</v>
      </c>
      <c r="L123" s="151">
        <v>699</v>
      </c>
      <c r="M123" s="151">
        <v>732</v>
      </c>
      <c r="N123" s="151">
        <v>767</v>
      </c>
      <c r="O123" s="151">
        <v>801</v>
      </c>
      <c r="P123" s="151">
        <v>832</v>
      </c>
      <c r="Q123" s="151">
        <v>873</v>
      </c>
      <c r="R123" s="151">
        <v>925</v>
      </c>
      <c r="S123" s="151">
        <v>953</v>
      </c>
      <c r="T123" s="151">
        <v>999</v>
      </c>
      <c r="U123" s="151">
        <v>17542201</v>
      </c>
      <c r="V123" s="151">
        <v>1105</v>
      </c>
      <c r="W123" s="151">
        <v>1161</v>
      </c>
      <c r="X123" s="151">
        <v>56678362</v>
      </c>
      <c r="Y123" s="151">
        <v>1285</v>
      </c>
      <c r="Z123" s="151">
        <v>1336</v>
      </c>
      <c r="AA123" s="151">
        <v>1411</v>
      </c>
      <c r="AB123" s="151">
        <v>1467</v>
      </c>
      <c r="AC123" s="151">
        <v>2882155</v>
      </c>
      <c r="AD123" s="151">
        <v>24952202</v>
      </c>
      <c r="AE123" s="151">
        <v>1704</v>
      </c>
      <c r="AF123" s="151"/>
      <c r="AG123" s="151"/>
      <c r="AH123" s="151"/>
      <c r="AI123" s="151"/>
    </row>
    <row r="124" spans="2:72" x14ac:dyDescent="0.35">
      <c r="B124" s="9">
        <v>6</v>
      </c>
      <c r="C124" s="122" t="str">
        <f>'Option inputs'!$C$20</f>
        <v>Option 2C</v>
      </c>
      <c r="D124" s="62"/>
      <c r="E124" s="68" t="s">
        <v>35</v>
      </c>
      <c r="F124" s="151"/>
      <c r="G124" s="151">
        <v>254717813</v>
      </c>
      <c r="H124" s="151">
        <v>3777587</v>
      </c>
      <c r="I124" s="151">
        <v>6834422</v>
      </c>
      <c r="J124" s="151">
        <v>17102329</v>
      </c>
      <c r="K124" s="151">
        <v>6073048</v>
      </c>
      <c r="L124" s="151">
        <v>2926</v>
      </c>
      <c r="M124" s="151">
        <v>2902</v>
      </c>
      <c r="N124" s="151">
        <v>3035</v>
      </c>
      <c r="O124" s="151">
        <v>3193</v>
      </c>
      <c r="P124" s="151">
        <v>3288</v>
      </c>
      <c r="Q124" s="151">
        <v>3377</v>
      </c>
      <c r="R124" s="151">
        <v>3638</v>
      </c>
      <c r="S124" s="151">
        <v>3729</v>
      </c>
      <c r="T124" s="151">
        <v>3877</v>
      </c>
      <c r="U124" s="151">
        <v>17545294</v>
      </c>
      <c r="V124" s="151">
        <v>4283</v>
      </c>
      <c r="W124" s="151">
        <v>4446</v>
      </c>
      <c r="X124" s="151">
        <v>56681388</v>
      </c>
      <c r="Y124" s="151">
        <v>4847</v>
      </c>
      <c r="Z124" s="151">
        <v>5037</v>
      </c>
      <c r="AA124" s="151">
        <v>5335</v>
      </c>
      <c r="AB124" s="151">
        <v>5442</v>
      </c>
      <c r="AC124" s="151">
        <v>2886401</v>
      </c>
      <c r="AD124" s="151">
        <v>24956920</v>
      </c>
      <c r="AE124" s="151">
        <v>6435</v>
      </c>
      <c r="AF124" s="151"/>
      <c r="AG124" s="151"/>
      <c r="AH124" s="151"/>
      <c r="AI124" s="151"/>
    </row>
    <row r="125" spans="2:72" x14ac:dyDescent="0.35">
      <c r="B125" s="9">
        <v>7</v>
      </c>
      <c r="C125" s="122" t="str">
        <f>'Option inputs'!$C$21</f>
        <v>Option 3A</v>
      </c>
      <c r="D125" s="62"/>
      <c r="E125" s="68" t="s">
        <v>35</v>
      </c>
      <c r="F125" s="130"/>
      <c r="G125" s="130">
        <v>254716164</v>
      </c>
      <c r="H125" s="151">
        <v>3775077</v>
      </c>
      <c r="I125" s="151">
        <v>6832429</v>
      </c>
      <c r="J125" s="151">
        <v>17100913</v>
      </c>
      <c r="K125" s="151">
        <v>77041317</v>
      </c>
      <c r="L125" s="151">
        <v>118</v>
      </c>
      <c r="M125" s="151">
        <v>125</v>
      </c>
      <c r="N125" s="151">
        <v>133</v>
      </c>
      <c r="O125" s="151">
        <v>38014424</v>
      </c>
      <c r="P125" s="151">
        <v>148</v>
      </c>
      <c r="Q125" s="151">
        <v>157</v>
      </c>
      <c r="R125" s="151">
        <v>167</v>
      </c>
      <c r="S125" s="151">
        <v>176</v>
      </c>
      <c r="T125" s="151">
        <v>1299258</v>
      </c>
      <c r="U125" s="151">
        <v>23530188</v>
      </c>
      <c r="V125" s="151">
        <v>12325766</v>
      </c>
      <c r="W125" s="151">
        <v>222</v>
      </c>
      <c r="X125" s="151">
        <v>64576051</v>
      </c>
      <c r="Y125" s="151">
        <v>249</v>
      </c>
      <c r="Z125" s="151">
        <v>265</v>
      </c>
      <c r="AA125" s="151">
        <v>280</v>
      </c>
      <c r="AB125" s="151">
        <v>297</v>
      </c>
      <c r="AC125" s="151">
        <v>1341564</v>
      </c>
      <c r="AD125" s="151">
        <v>24626799</v>
      </c>
      <c r="AE125" s="151">
        <v>353</v>
      </c>
      <c r="AF125" s="151"/>
      <c r="AG125" s="151"/>
      <c r="AH125" s="151"/>
      <c r="AI125" s="151"/>
    </row>
    <row r="126" spans="2:72" x14ac:dyDescent="0.35">
      <c r="B126" s="64">
        <f>+'Option inputs'!$B$22</f>
        <v>8</v>
      </c>
      <c r="C126" s="122" t="str">
        <f>'Option inputs'!$C$22</f>
        <v>Option 3B</v>
      </c>
      <c r="D126" s="62"/>
      <c r="E126" s="68" t="s">
        <v>35</v>
      </c>
      <c r="F126" s="130"/>
      <c r="G126" s="130">
        <v>254716229</v>
      </c>
      <c r="H126" s="151">
        <v>3775461</v>
      </c>
      <c r="I126" s="151">
        <v>6832648</v>
      </c>
      <c r="J126" s="151">
        <v>17100904</v>
      </c>
      <c r="K126" s="151">
        <v>65393140</v>
      </c>
      <c r="L126" s="151">
        <v>569</v>
      </c>
      <c r="M126" s="151">
        <v>599</v>
      </c>
      <c r="N126" s="151">
        <v>633</v>
      </c>
      <c r="O126" s="151">
        <v>664</v>
      </c>
      <c r="P126" s="151">
        <v>699</v>
      </c>
      <c r="Q126" s="151">
        <v>737</v>
      </c>
      <c r="R126" s="151">
        <v>782</v>
      </c>
      <c r="S126" s="151">
        <v>821</v>
      </c>
      <c r="T126" s="151">
        <v>866</v>
      </c>
      <c r="U126" s="151">
        <v>17857731</v>
      </c>
      <c r="V126" s="151">
        <v>969</v>
      </c>
      <c r="W126" s="151">
        <v>1022</v>
      </c>
      <c r="X126" s="151">
        <v>58124366</v>
      </c>
      <c r="Y126" s="151">
        <v>1150</v>
      </c>
      <c r="Z126" s="151">
        <v>1226</v>
      </c>
      <c r="AA126" s="151">
        <v>1284</v>
      </c>
      <c r="AB126" s="151">
        <v>1354</v>
      </c>
      <c r="AC126" s="151">
        <v>2214725</v>
      </c>
      <c r="AD126" s="151">
        <v>24952093</v>
      </c>
      <c r="AE126" s="151">
        <v>1626</v>
      </c>
      <c r="AF126" s="151"/>
      <c r="AG126" s="151"/>
      <c r="AH126" s="151"/>
      <c r="AI126" s="151"/>
    </row>
    <row r="127" spans="2:72" x14ac:dyDescent="0.35">
      <c r="B127" s="64">
        <f>+'Option inputs'!$B$23</f>
        <v>9</v>
      </c>
      <c r="C127" s="122" t="str">
        <f>'Option inputs'!$C$23</f>
        <v>Option 3C</v>
      </c>
      <c r="D127" s="62"/>
      <c r="E127" s="68" t="s">
        <v>35</v>
      </c>
      <c r="F127" s="130"/>
      <c r="G127" s="130">
        <v>254716425</v>
      </c>
      <c r="H127" s="151">
        <v>3775890</v>
      </c>
      <c r="I127" s="151">
        <v>6832930</v>
      </c>
      <c r="J127" s="151">
        <v>17100962</v>
      </c>
      <c r="K127" s="151">
        <v>24925983</v>
      </c>
      <c r="L127" s="151">
        <v>1079</v>
      </c>
      <c r="M127" s="151">
        <v>1101</v>
      </c>
      <c r="N127" s="151">
        <v>1188</v>
      </c>
      <c r="O127" s="151">
        <v>1204</v>
      </c>
      <c r="P127" s="151">
        <v>1272</v>
      </c>
      <c r="Q127" s="151">
        <v>1321</v>
      </c>
      <c r="R127" s="151">
        <v>1405</v>
      </c>
      <c r="S127" s="151">
        <v>1462</v>
      </c>
      <c r="T127" s="151">
        <v>1537</v>
      </c>
      <c r="U127" s="151">
        <v>17858784</v>
      </c>
      <c r="V127" s="151">
        <v>1707</v>
      </c>
      <c r="W127" s="151">
        <v>1797</v>
      </c>
      <c r="X127" s="151">
        <v>58127833</v>
      </c>
      <c r="Y127" s="151">
        <v>1986</v>
      </c>
      <c r="Z127" s="151">
        <v>2085</v>
      </c>
      <c r="AA127" s="151">
        <v>2216</v>
      </c>
      <c r="AB127" s="151">
        <v>2322</v>
      </c>
      <c r="AC127" s="151">
        <v>2215876</v>
      </c>
      <c r="AD127" s="151">
        <v>24953128</v>
      </c>
      <c r="AE127" s="151">
        <v>2737</v>
      </c>
      <c r="AF127" s="151"/>
      <c r="AG127" s="151"/>
      <c r="AH127" s="151"/>
      <c r="AI127" s="151"/>
    </row>
    <row r="128" spans="2:72" x14ac:dyDescent="0.35">
      <c r="B128" s="64">
        <f>+'Option inputs'!$B$24</f>
        <v>10</v>
      </c>
      <c r="C128" s="122" t="str">
        <f>'Option inputs'!$C$24</f>
        <v>Option 4A</v>
      </c>
      <c r="D128" s="62"/>
      <c r="E128" s="68" t="s">
        <v>35</v>
      </c>
      <c r="F128" s="130"/>
      <c r="G128" s="130">
        <v>254716329</v>
      </c>
      <c r="H128" s="151">
        <v>3775838</v>
      </c>
      <c r="I128" s="151">
        <v>6832809</v>
      </c>
      <c r="J128" s="151">
        <v>17100666</v>
      </c>
      <c r="K128" s="151">
        <v>80987116</v>
      </c>
      <c r="L128" s="151">
        <v>1031</v>
      </c>
      <c r="M128" s="151">
        <v>1079</v>
      </c>
      <c r="N128" s="151">
        <v>1143</v>
      </c>
      <c r="O128" s="151">
        <v>37033707</v>
      </c>
      <c r="P128" s="151">
        <v>1259</v>
      </c>
      <c r="Q128" s="151">
        <v>1324</v>
      </c>
      <c r="R128" s="151">
        <v>1412</v>
      </c>
      <c r="S128" s="151">
        <v>1473</v>
      </c>
      <c r="T128" s="151">
        <v>374956</v>
      </c>
      <c r="U128" s="151">
        <v>22927762</v>
      </c>
      <c r="V128" s="151">
        <v>11881714</v>
      </c>
      <c r="W128" s="151">
        <v>1827</v>
      </c>
      <c r="X128" s="151">
        <v>63757153</v>
      </c>
      <c r="Y128" s="151">
        <v>2033</v>
      </c>
      <c r="Z128" s="151">
        <v>2176</v>
      </c>
      <c r="AA128" s="151">
        <v>2292</v>
      </c>
      <c r="AB128" s="151">
        <v>2381</v>
      </c>
      <c r="AC128" s="151">
        <v>1376430</v>
      </c>
      <c r="AD128" s="151">
        <v>24938241</v>
      </c>
      <c r="AE128" s="151">
        <v>2952</v>
      </c>
      <c r="AF128" s="151"/>
      <c r="AG128" s="151"/>
      <c r="AH128" s="151"/>
      <c r="AI128" s="151"/>
    </row>
    <row r="129" spans="1:35" x14ac:dyDescent="0.35">
      <c r="B129" s="64">
        <f>+'Option inputs'!$B$25</f>
        <v>11</v>
      </c>
      <c r="C129" s="122" t="str">
        <f>'Option inputs'!$C$25</f>
        <v>Option 4B</v>
      </c>
      <c r="D129" s="62"/>
      <c r="E129" s="68" t="s">
        <v>35</v>
      </c>
      <c r="F129" s="130"/>
      <c r="G129" s="130">
        <v>254716390</v>
      </c>
      <c r="H129" s="151">
        <v>3775559</v>
      </c>
      <c r="I129" s="151">
        <v>6832871</v>
      </c>
      <c r="J129" s="151">
        <v>17101162</v>
      </c>
      <c r="K129" s="151">
        <v>49169232</v>
      </c>
      <c r="L129" s="151">
        <v>805</v>
      </c>
      <c r="M129" s="151">
        <v>851</v>
      </c>
      <c r="N129" s="151">
        <v>904</v>
      </c>
      <c r="O129" s="151">
        <v>950</v>
      </c>
      <c r="P129" s="151">
        <v>1004</v>
      </c>
      <c r="Q129" s="151">
        <v>1061</v>
      </c>
      <c r="R129" s="151">
        <v>1123</v>
      </c>
      <c r="S129" s="151">
        <v>1180</v>
      </c>
      <c r="T129" s="151">
        <v>1246</v>
      </c>
      <c r="U129" s="151">
        <v>16566673</v>
      </c>
      <c r="V129" s="151">
        <v>1396</v>
      </c>
      <c r="W129" s="151">
        <v>1467</v>
      </c>
      <c r="X129" s="151">
        <v>44305863</v>
      </c>
      <c r="Y129" s="151">
        <v>1613</v>
      </c>
      <c r="Z129" s="151">
        <v>1701</v>
      </c>
      <c r="AA129" s="151">
        <v>1778</v>
      </c>
      <c r="AB129" s="151">
        <v>1857</v>
      </c>
      <c r="AC129" s="151">
        <v>4278626</v>
      </c>
      <c r="AD129" s="151">
        <v>24555569</v>
      </c>
      <c r="AE129" s="151">
        <v>2163</v>
      </c>
      <c r="AF129" s="151"/>
      <c r="AG129" s="151"/>
      <c r="AH129" s="151"/>
      <c r="AI129" s="151"/>
    </row>
    <row r="130" spans="1:35" x14ac:dyDescent="0.35">
      <c r="B130" s="64">
        <f>+'Option inputs'!$B$26</f>
        <v>12</v>
      </c>
      <c r="C130" s="122" t="str">
        <f>'Option inputs'!$C$26</f>
        <v>Option 4C</v>
      </c>
      <c r="D130" s="62"/>
      <c r="E130" s="68" t="s">
        <v>35</v>
      </c>
      <c r="F130" s="130"/>
      <c r="G130" s="130">
        <v>254716036</v>
      </c>
      <c r="H130" s="151">
        <v>3775237</v>
      </c>
      <c r="I130" s="151">
        <v>6832424</v>
      </c>
      <c r="J130" s="151">
        <v>17100695</v>
      </c>
      <c r="K130" s="151">
        <v>24931079</v>
      </c>
      <c r="L130" s="151">
        <v>384</v>
      </c>
      <c r="M130" s="151">
        <v>406</v>
      </c>
      <c r="N130" s="151">
        <v>431</v>
      </c>
      <c r="O130" s="151">
        <v>455</v>
      </c>
      <c r="P130" s="151">
        <v>482</v>
      </c>
      <c r="Q130" s="151">
        <v>511</v>
      </c>
      <c r="R130" s="151">
        <v>542</v>
      </c>
      <c r="S130" s="151">
        <v>573</v>
      </c>
      <c r="T130" s="151">
        <v>607</v>
      </c>
      <c r="U130" s="151">
        <v>16566018</v>
      </c>
      <c r="V130" s="151">
        <v>681</v>
      </c>
      <c r="W130" s="151">
        <v>719</v>
      </c>
      <c r="X130" s="151">
        <v>44304796</v>
      </c>
      <c r="Y130" s="151">
        <v>809</v>
      </c>
      <c r="Z130" s="151">
        <v>859</v>
      </c>
      <c r="AA130" s="151">
        <v>907</v>
      </c>
      <c r="AB130" s="151">
        <v>962</v>
      </c>
      <c r="AC130" s="151">
        <v>4277132</v>
      </c>
      <c r="AD130" s="151">
        <v>24554586</v>
      </c>
      <c r="AE130" s="151">
        <v>1143</v>
      </c>
      <c r="AF130" s="151"/>
      <c r="AG130" s="151"/>
      <c r="AH130" s="151"/>
      <c r="AI130" s="151"/>
    </row>
    <row r="131" spans="1:35" x14ac:dyDescent="0.35">
      <c r="E131" s="66"/>
      <c r="AF131" s="46"/>
      <c r="AG131" s="46"/>
      <c r="AH131" s="46"/>
      <c r="AI131" s="46"/>
    </row>
    <row r="132" spans="1:35" x14ac:dyDescent="0.35">
      <c r="B132" s="58" t="s">
        <v>58</v>
      </c>
      <c r="C132" s="58"/>
      <c r="D132" s="58"/>
      <c r="E132" s="114" t="s">
        <v>54</v>
      </c>
      <c r="F132" s="115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</row>
    <row r="133" spans="1:35" s="47" customFormat="1" x14ac:dyDescent="0.35">
      <c r="A133" s="87"/>
      <c r="B133" s="117"/>
      <c r="C133" s="117"/>
      <c r="D133" s="117"/>
      <c r="E133" s="118"/>
      <c r="F133" s="120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</row>
    <row r="134" spans="1:35" x14ac:dyDescent="0.35">
      <c r="B134" s="59" t="s">
        <v>14</v>
      </c>
      <c r="C134" s="59" t="s">
        <v>13</v>
      </c>
      <c r="D134" s="80" t="str">
        <f>'Interface and charts'!$I$6</f>
        <v>Central</v>
      </c>
      <c r="E134" s="63" t="s">
        <v>7</v>
      </c>
      <c r="F134" s="171" t="str">
        <f>Calculation!G$56</f>
        <v>FY 2019-20</v>
      </c>
      <c r="G134" s="171" t="str">
        <f>Calculation!H$56</f>
        <v>FY 2020-21</v>
      </c>
      <c r="H134" s="171" t="str">
        <f>Calculation!I$56</f>
        <v>FY 2021-22</v>
      </c>
      <c r="I134" s="171" t="str">
        <f>Calculation!J$56</f>
        <v>FY 2022-23</v>
      </c>
      <c r="J134" s="171" t="str">
        <f>Calculation!K$56</f>
        <v>FY 2023-24</v>
      </c>
      <c r="K134" s="171" t="str">
        <f>Calculation!L$56</f>
        <v>FY 2024-25</v>
      </c>
      <c r="L134" s="171" t="str">
        <f>Calculation!M$56</f>
        <v>FY 2025-26</v>
      </c>
      <c r="M134" s="171" t="str">
        <f>Calculation!N$56</f>
        <v>FY 2026-27</v>
      </c>
      <c r="N134" s="171" t="str">
        <f>Calculation!O$56</f>
        <v>FY 2027-28</v>
      </c>
      <c r="O134" s="171" t="str">
        <f>Calculation!P$56</f>
        <v>FY 2028-29</v>
      </c>
      <c r="P134" s="171" t="str">
        <f>Calculation!Q$56</f>
        <v>FY 2029-30</v>
      </c>
      <c r="Q134" s="171" t="str">
        <f>Calculation!R$56</f>
        <v>FY 2030-31</v>
      </c>
      <c r="R134" s="171" t="str">
        <f>Calculation!S$56</f>
        <v>FY 2031-32</v>
      </c>
      <c r="S134" s="171" t="str">
        <f>Calculation!T$56</f>
        <v>FY 2032-33</v>
      </c>
      <c r="T134" s="171" t="str">
        <f>Calculation!U$56</f>
        <v>FY 2033-34</v>
      </c>
      <c r="U134" s="171" t="str">
        <f>Calculation!V$56</f>
        <v>FY 2034-35</v>
      </c>
      <c r="V134" s="171" t="str">
        <f>Calculation!W$56</f>
        <v>FY 2035-36</v>
      </c>
      <c r="W134" s="171" t="str">
        <f>Calculation!X$56</f>
        <v>FY 2036-37</v>
      </c>
      <c r="X134" s="171" t="str">
        <f>Calculation!Y$56</f>
        <v>FY 2037-38</v>
      </c>
      <c r="Y134" s="171" t="str">
        <f>Calculation!Z$56</f>
        <v>FY 2038-39</v>
      </c>
      <c r="Z134" s="171" t="str">
        <f>Calculation!AA$56</f>
        <v>FY 2039-40</v>
      </c>
      <c r="AA134" s="171" t="str">
        <f>Calculation!AB$56</f>
        <v>FY 2040-41</v>
      </c>
      <c r="AB134" s="171" t="str">
        <f>Calculation!AC$56</f>
        <v>FY 2041-42</v>
      </c>
      <c r="AC134" s="171" t="str">
        <f>Calculation!AD$56</f>
        <v>FY 2042-43</v>
      </c>
      <c r="AD134" s="171" t="str">
        <f>Calculation!AE$56</f>
        <v>FY 2043-44</v>
      </c>
      <c r="AE134" s="171" t="str">
        <f>Calculation!AF$56</f>
        <v>FY 2044-45</v>
      </c>
      <c r="AF134" s="171" t="str">
        <f>Calculation!AG$56</f>
        <v>FY 2045-46</v>
      </c>
      <c r="AG134" s="171" t="str">
        <f>Calculation!AH$56</f>
        <v>FY 2046-47</v>
      </c>
      <c r="AH134" s="171" t="str">
        <f>Calculation!AI$56</f>
        <v>FY 2047-48</v>
      </c>
      <c r="AI134" s="171" t="str">
        <f>Calculation!AJ$56</f>
        <v>FY 2048-49</v>
      </c>
    </row>
    <row r="135" spans="1:35" x14ac:dyDescent="0.35">
      <c r="B135" s="9">
        <v>0</v>
      </c>
      <c r="C135" s="123" t="str">
        <f>'Option inputs'!$C$14</f>
        <v>Base case</v>
      </c>
      <c r="D135" s="62"/>
      <c r="E135" s="68" t="s">
        <v>35</v>
      </c>
      <c r="F135" s="151"/>
      <c r="G135" s="151">
        <v>2696</v>
      </c>
      <c r="H135" s="151">
        <v>295</v>
      </c>
      <c r="I135" s="151">
        <v>121</v>
      </c>
      <c r="J135" s="151">
        <v>760</v>
      </c>
      <c r="K135" s="151">
        <v>673</v>
      </c>
      <c r="L135" s="151">
        <v>504</v>
      </c>
      <c r="M135" s="151">
        <v>635</v>
      </c>
      <c r="N135" s="151">
        <v>299</v>
      </c>
      <c r="O135" s="151">
        <v>864</v>
      </c>
      <c r="P135" s="151">
        <v>215394479</v>
      </c>
      <c r="Q135" s="151">
        <v>1805</v>
      </c>
      <c r="R135" s="151">
        <v>447520723</v>
      </c>
      <c r="S135" s="151">
        <v>332654541</v>
      </c>
      <c r="T135" s="151">
        <v>46815453</v>
      </c>
      <c r="U135" s="151">
        <v>67676853</v>
      </c>
      <c r="V135" s="151">
        <v>335509576</v>
      </c>
      <c r="W135" s="151">
        <v>142754398</v>
      </c>
      <c r="X135" s="151">
        <v>1167058424</v>
      </c>
      <c r="Y135" s="151">
        <v>66833016</v>
      </c>
      <c r="Z135" s="151">
        <v>12783080</v>
      </c>
      <c r="AA135" s="151">
        <v>38</v>
      </c>
      <c r="AB135" s="151">
        <v>61736802</v>
      </c>
      <c r="AC135" s="151">
        <v>153745995</v>
      </c>
      <c r="AD135" s="151">
        <v>14895249</v>
      </c>
      <c r="AE135" s="151">
        <v>58361775</v>
      </c>
      <c r="AF135" s="151"/>
      <c r="AG135" s="151"/>
      <c r="AH135" s="151"/>
      <c r="AI135" s="151"/>
    </row>
    <row r="136" spans="1:35" x14ac:dyDescent="0.35">
      <c r="B136" s="9">
        <v>1</v>
      </c>
      <c r="C136" s="122" t="str">
        <f>'Option inputs'!$C$15</f>
        <v>Option 1A</v>
      </c>
      <c r="D136" s="62"/>
      <c r="E136" s="68" t="s">
        <v>35</v>
      </c>
      <c r="F136" s="151"/>
      <c r="G136" s="151">
        <v>2963</v>
      </c>
      <c r="H136" s="151">
        <v>189</v>
      </c>
      <c r="I136" s="151">
        <v>173</v>
      </c>
      <c r="J136" s="151">
        <v>637</v>
      </c>
      <c r="K136" s="151">
        <v>710</v>
      </c>
      <c r="L136" s="151">
        <v>569</v>
      </c>
      <c r="M136" s="151">
        <v>602</v>
      </c>
      <c r="N136" s="151">
        <v>332</v>
      </c>
      <c r="O136" s="151">
        <v>1058</v>
      </c>
      <c r="P136" s="151">
        <v>118972330</v>
      </c>
      <c r="Q136" s="151">
        <v>1320</v>
      </c>
      <c r="R136" s="151">
        <v>552555245</v>
      </c>
      <c r="S136" s="151">
        <v>336370505</v>
      </c>
      <c r="T136" s="151">
        <v>36290933</v>
      </c>
      <c r="U136" s="151">
        <v>60440017</v>
      </c>
      <c r="V136" s="151">
        <v>350008939</v>
      </c>
      <c r="W136" s="151">
        <v>143655547</v>
      </c>
      <c r="X136" s="151">
        <v>1175497465</v>
      </c>
      <c r="Y136" s="151">
        <v>64356355</v>
      </c>
      <c r="Z136" s="151">
        <v>13116962</v>
      </c>
      <c r="AA136" s="151">
        <v>75</v>
      </c>
      <c r="AB136" s="151">
        <v>63351011</v>
      </c>
      <c r="AC136" s="151">
        <v>153502338</v>
      </c>
      <c r="AD136" s="151">
        <v>15668433</v>
      </c>
      <c r="AE136" s="151">
        <v>56446718</v>
      </c>
      <c r="AF136" s="151"/>
      <c r="AG136" s="151"/>
      <c r="AH136" s="151"/>
      <c r="AI136" s="151"/>
    </row>
    <row r="137" spans="1:35" x14ac:dyDescent="0.35">
      <c r="B137" s="9">
        <v>2</v>
      </c>
      <c r="C137" s="122" t="str">
        <f>'Option inputs'!$C$16</f>
        <v>Option 1B</v>
      </c>
      <c r="D137" s="62"/>
      <c r="E137" s="68" t="s">
        <v>35</v>
      </c>
      <c r="F137" s="151"/>
      <c r="G137" s="151">
        <v>994</v>
      </c>
      <c r="H137" s="151">
        <v>57</v>
      </c>
      <c r="I137" s="151">
        <v>52</v>
      </c>
      <c r="J137" s="151">
        <v>214</v>
      </c>
      <c r="K137" s="151">
        <v>246</v>
      </c>
      <c r="L137" s="151">
        <v>195</v>
      </c>
      <c r="M137" s="151">
        <v>205</v>
      </c>
      <c r="N137" s="151">
        <v>104</v>
      </c>
      <c r="O137" s="151">
        <v>359</v>
      </c>
      <c r="P137" s="151">
        <v>606</v>
      </c>
      <c r="Q137" s="151">
        <v>118981454</v>
      </c>
      <c r="R137" s="151">
        <v>498037134</v>
      </c>
      <c r="S137" s="151">
        <v>351372036</v>
      </c>
      <c r="T137" s="151">
        <v>47434550</v>
      </c>
      <c r="U137" s="151">
        <v>46327125</v>
      </c>
      <c r="V137" s="151">
        <v>371565491</v>
      </c>
      <c r="W137" s="151">
        <v>132876662</v>
      </c>
      <c r="X137" s="151">
        <v>1200523827</v>
      </c>
      <c r="Y137" s="151">
        <v>61090163</v>
      </c>
      <c r="Z137" s="151">
        <v>14717624</v>
      </c>
      <c r="AA137" s="151">
        <v>28</v>
      </c>
      <c r="AB137" s="151">
        <v>67743169</v>
      </c>
      <c r="AC137" s="151">
        <v>152024967</v>
      </c>
      <c r="AD137" s="151">
        <v>15539473</v>
      </c>
      <c r="AE137" s="151">
        <v>58293206</v>
      </c>
      <c r="AF137" s="151"/>
      <c r="AG137" s="151"/>
      <c r="AH137" s="151"/>
      <c r="AI137" s="151"/>
    </row>
    <row r="138" spans="1:35" x14ac:dyDescent="0.35">
      <c r="B138" s="9">
        <v>3</v>
      </c>
      <c r="C138" s="122" t="str">
        <f>'Option inputs'!$C$17</f>
        <v>Option 1C</v>
      </c>
      <c r="D138" s="62"/>
      <c r="E138" s="68" t="s">
        <v>35</v>
      </c>
      <c r="F138" s="151"/>
      <c r="G138" s="151">
        <v>2432</v>
      </c>
      <c r="H138" s="151">
        <v>350</v>
      </c>
      <c r="I138" s="151">
        <v>111</v>
      </c>
      <c r="J138" s="151">
        <v>644</v>
      </c>
      <c r="K138" s="151">
        <v>599</v>
      </c>
      <c r="L138" s="151">
        <v>549</v>
      </c>
      <c r="M138" s="151">
        <v>464</v>
      </c>
      <c r="N138" s="151">
        <v>246</v>
      </c>
      <c r="O138" s="151">
        <v>874</v>
      </c>
      <c r="P138" s="151">
        <v>2024</v>
      </c>
      <c r="Q138" s="151">
        <v>118924878</v>
      </c>
      <c r="R138" s="151">
        <v>498120422</v>
      </c>
      <c r="S138" s="151">
        <v>351335364</v>
      </c>
      <c r="T138" s="151">
        <v>47431984</v>
      </c>
      <c r="U138" s="151">
        <v>46340502</v>
      </c>
      <c r="V138" s="151">
        <v>371571547</v>
      </c>
      <c r="W138" s="151">
        <v>132662922</v>
      </c>
      <c r="X138" s="151">
        <v>1200736282</v>
      </c>
      <c r="Y138" s="151">
        <v>61088816</v>
      </c>
      <c r="Z138" s="151">
        <v>14719145</v>
      </c>
      <c r="AA138" s="151">
        <v>42</v>
      </c>
      <c r="AB138" s="151">
        <v>67724129</v>
      </c>
      <c r="AC138" s="151">
        <v>152036300</v>
      </c>
      <c r="AD138" s="151">
        <v>15540861</v>
      </c>
      <c r="AE138" s="151">
        <v>58295363</v>
      </c>
      <c r="AF138" s="151"/>
      <c r="AG138" s="151"/>
      <c r="AH138" s="151"/>
      <c r="AI138" s="151"/>
    </row>
    <row r="139" spans="1:35" x14ac:dyDescent="0.35">
      <c r="B139" s="9">
        <v>4</v>
      </c>
      <c r="C139" s="122" t="str">
        <f>'Option inputs'!$C$18</f>
        <v>Option 2A</v>
      </c>
      <c r="D139" s="62"/>
      <c r="E139" s="68" t="s">
        <v>35</v>
      </c>
      <c r="F139" s="151"/>
      <c r="G139" s="151">
        <v>3696</v>
      </c>
      <c r="H139" s="151">
        <v>375</v>
      </c>
      <c r="I139" s="151">
        <v>154</v>
      </c>
      <c r="J139" s="151">
        <v>774</v>
      </c>
      <c r="K139" s="151">
        <v>696</v>
      </c>
      <c r="L139" s="151">
        <v>697</v>
      </c>
      <c r="M139" s="151">
        <v>608</v>
      </c>
      <c r="N139" s="151">
        <v>305</v>
      </c>
      <c r="O139" s="151">
        <v>1120</v>
      </c>
      <c r="P139" s="151">
        <v>49294527</v>
      </c>
      <c r="Q139" s="151">
        <v>822</v>
      </c>
      <c r="R139" s="151">
        <v>439794765</v>
      </c>
      <c r="S139" s="151">
        <v>310077114</v>
      </c>
      <c r="T139" s="151">
        <v>47359548</v>
      </c>
      <c r="U139" s="151">
        <v>67699803</v>
      </c>
      <c r="V139" s="151">
        <v>481995672</v>
      </c>
      <c r="W139" s="151">
        <v>42277338</v>
      </c>
      <c r="X139" s="151">
        <v>1335821375</v>
      </c>
      <c r="Y139" s="151">
        <v>47228311</v>
      </c>
      <c r="Z139" s="151">
        <v>20022706</v>
      </c>
      <c r="AA139" s="151">
        <v>70</v>
      </c>
      <c r="AB139" s="151">
        <v>97601085</v>
      </c>
      <c r="AC139" s="151">
        <v>166423539</v>
      </c>
      <c r="AD139" s="151">
        <v>10728761</v>
      </c>
      <c r="AE139" s="151">
        <v>59251973</v>
      </c>
      <c r="AF139" s="151"/>
      <c r="AG139" s="151"/>
      <c r="AH139" s="151"/>
      <c r="AI139" s="151"/>
    </row>
    <row r="140" spans="1:35" x14ac:dyDescent="0.35">
      <c r="B140" s="9">
        <v>5</v>
      </c>
      <c r="C140" s="122" t="str">
        <f>'Option inputs'!$C$19</f>
        <v>Option 2B</v>
      </c>
      <c r="D140" s="62"/>
      <c r="E140" s="68" t="s">
        <v>35</v>
      </c>
      <c r="F140" s="151"/>
      <c r="G140" s="151">
        <v>2925</v>
      </c>
      <c r="H140" s="151">
        <v>353</v>
      </c>
      <c r="I140" s="151">
        <v>81</v>
      </c>
      <c r="J140" s="151">
        <v>688</v>
      </c>
      <c r="K140" s="151">
        <v>670</v>
      </c>
      <c r="L140" s="151">
        <v>611</v>
      </c>
      <c r="M140" s="151">
        <v>562</v>
      </c>
      <c r="N140" s="151">
        <v>331</v>
      </c>
      <c r="O140" s="151">
        <v>983</v>
      </c>
      <c r="P140" s="151">
        <v>1743</v>
      </c>
      <c r="Q140" s="151">
        <v>741</v>
      </c>
      <c r="R140" s="151">
        <v>418706930</v>
      </c>
      <c r="S140" s="151">
        <v>308528869</v>
      </c>
      <c r="T140" s="151">
        <v>79423998</v>
      </c>
      <c r="U140" s="151">
        <v>55727443</v>
      </c>
      <c r="V140" s="151">
        <v>517478590</v>
      </c>
      <c r="W140" s="151">
        <v>46184251</v>
      </c>
      <c r="X140" s="151">
        <v>1401117487</v>
      </c>
      <c r="Y140" s="151">
        <v>43203986</v>
      </c>
      <c r="Z140" s="151">
        <v>21534422</v>
      </c>
      <c r="AA140" s="151">
        <v>68</v>
      </c>
      <c r="AB140" s="151">
        <v>76305023</v>
      </c>
      <c r="AC140" s="151">
        <v>169801107</v>
      </c>
      <c r="AD140" s="151">
        <v>10542192</v>
      </c>
      <c r="AE140" s="151">
        <v>58672837</v>
      </c>
      <c r="AF140" s="151"/>
      <c r="AG140" s="151"/>
      <c r="AH140" s="151"/>
      <c r="AI140" s="151"/>
    </row>
    <row r="141" spans="1:35" x14ac:dyDescent="0.35">
      <c r="B141" s="9">
        <v>6</v>
      </c>
      <c r="C141" s="122" t="str">
        <f>'Option inputs'!$C$20</f>
        <v>Option 2C</v>
      </c>
      <c r="D141" s="62"/>
      <c r="E141" s="68" t="s">
        <v>35</v>
      </c>
      <c r="F141" s="151"/>
      <c r="G141" s="151">
        <v>2819</v>
      </c>
      <c r="H141" s="151">
        <v>394</v>
      </c>
      <c r="I141" s="151">
        <v>190</v>
      </c>
      <c r="J141" s="151">
        <v>831</v>
      </c>
      <c r="K141" s="151">
        <v>824</v>
      </c>
      <c r="L141" s="151">
        <v>648</v>
      </c>
      <c r="M141" s="151">
        <v>635</v>
      </c>
      <c r="N141" s="151">
        <v>398</v>
      </c>
      <c r="O141" s="151">
        <v>1306</v>
      </c>
      <c r="P141" s="151">
        <v>1966</v>
      </c>
      <c r="Q141" s="151">
        <v>935</v>
      </c>
      <c r="R141" s="151">
        <v>418696964</v>
      </c>
      <c r="S141" s="151">
        <v>308558561</v>
      </c>
      <c r="T141" s="151">
        <v>79412553</v>
      </c>
      <c r="U141" s="151">
        <v>55726839</v>
      </c>
      <c r="V141" s="151">
        <v>517473968</v>
      </c>
      <c r="W141" s="151">
        <v>46205258</v>
      </c>
      <c r="X141" s="151">
        <v>1401116262</v>
      </c>
      <c r="Y141" s="151">
        <v>43194644</v>
      </c>
      <c r="Z141" s="151">
        <v>21536560</v>
      </c>
      <c r="AA141" s="151">
        <v>79</v>
      </c>
      <c r="AB141" s="151">
        <v>76297078</v>
      </c>
      <c r="AC141" s="151">
        <v>169808074</v>
      </c>
      <c r="AD141" s="151">
        <v>10539161</v>
      </c>
      <c r="AE141" s="151">
        <v>58676566</v>
      </c>
      <c r="AF141" s="151"/>
      <c r="AG141" s="151"/>
      <c r="AH141" s="151"/>
      <c r="AI141" s="151"/>
    </row>
    <row r="142" spans="1:35" x14ac:dyDescent="0.35">
      <c r="B142" s="9">
        <v>7</v>
      </c>
      <c r="C142" s="122" t="str">
        <f>'Option inputs'!$C$21</f>
        <v>Option 3A</v>
      </c>
      <c r="D142" s="119"/>
      <c r="E142" s="68" t="s">
        <v>35</v>
      </c>
      <c r="F142" s="130"/>
      <c r="G142" s="130">
        <v>2596</v>
      </c>
      <c r="H142" s="130">
        <v>431</v>
      </c>
      <c r="I142" s="130">
        <v>91</v>
      </c>
      <c r="J142" s="130">
        <v>703</v>
      </c>
      <c r="K142" s="130">
        <v>662</v>
      </c>
      <c r="L142" s="130">
        <v>565</v>
      </c>
      <c r="M142" s="130">
        <v>527</v>
      </c>
      <c r="N142" s="130">
        <v>331</v>
      </c>
      <c r="O142" s="130">
        <v>1060</v>
      </c>
      <c r="P142" s="130">
        <v>140746102</v>
      </c>
      <c r="Q142" s="130">
        <v>1406</v>
      </c>
      <c r="R142" s="130">
        <v>405396215</v>
      </c>
      <c r="S142" s="130">
        <v>281637941</v>
      </c>
      <c r="T142" s="130">
        <v>48854048</v>
      </c>
      <c r="U142" s="130">
        <v>67580777</v>
      </c>
      <c r="V142" s="130">
        <v>466485093</v>
      </c>
      <c r="W142" s="130">
        <v>39244238</v>
      </c>
      <c r="X142" s="130">
        <v>1284342427</v>
      </c>
      <c r="Y142" s="130">
        <v>49709090</v>
      </c>
      <c r="Z142" s="130">
        <v>20637650</v>
      </c>
      <c r="AA142" s="130">
        <v>85</v>
      </c>
      <c r="AB142" s="130">
        <v>86782800</v>
      </c>
      <c r="AC142" s="130">
        <v>167721197</v>
      </c>
      <c r="AD142" s="130">
        <v>10768582</v>
      </c>
      <c r="AE142" s="56">
        <v>58375120</v>
      </c>
      <c r="AF142" s="56"/>
      <c r="AG142" s="56"/>
      <c r="AH142" s="56"/>
      <c r="AI142" s="56"/>
    </row>
    <row r="143" spans="1:35" x14ac:dyDescent="0.35">
      <c r="B143" s="64">
        <f>+'Option inputs'!$B$22</f>
        <v>8</v>
      </c>
      <c r="C143" s="122" t="str">
        <f>'Option inputs'!$C$22</f>
        <v>Option 3B</v>
      </c>
      <c r="D143" s="119"/>
      <c r="E143" s="68" t="s">
        <v>35</v>
      </c>
      <c r="F143" s="130"/>
      <c r="G143" s="130">
        <v>2150</v>
      </c>
      <c r="H143" s="130">
        <v>282</v>
      </c>
      <c r="I143" s="130">
        <v>113</v>
      </c>
      <c r="J143" s="130">
        <v>596</v>
      </c>
      <c r="K143" s="130">
        <v>569</v>
      </c>
      <c r="L143" s="130">
        <v>503</v>
      </c>
      <c r="M143" s="130">
        <v>411</v>
      </c>
      <c r="N143" s="130">
        <v>236</v>
      </c>
      <c r="O143" s="130">
        <v>824</v>
      </c>
      <c r="P143" s="130">
        <v>1647</v>
      </c>
      <c r="Q143" s="130">
        <v>714</v>
      </c>
      <c r="R143" s="130">
        <v>423452412</v>
      </c>
      <c r="S143" s="130">
        <v>306920916</v>
      </c>
      <c r="T143" s="130">
        <v>83543580</v>
      </c>
      <c r="U143" s="130">
        <v>57775057</v>
      </c>
      <c r="V143" s="130">
        <v>508348366</v>
      </c>
      <c r="W143" s="130">
        <v>46050846</v>
      </c>
      <c r="X143" s="130">
        <v>1383152231</v>
      </c>
      <c r="Y143" s="130">
        <v>44763113</v>
      </c>
      <c r="Z143" s="130">
        <v>22402780</v>
      </c>
      <c r="AA143" s="130">
        <v>70</v>
      </c>
      <c r="AB143" s="130">
        <v>86491158</v>
      </c>
      <c r="AC143" s="130">
        <v>169727227</v>
      </c>
      <c r="AD143" s="130">
        <v>10733030</v>
      </c>
      <c r="AE143" s="56">
        <v>57987205</v>
      </c>
      <c r="AF143" s="56"/>
      <c r="AG143" s="56"/>
      <c r="AH143" s="56"/>
      <c r="AI143" s="56"/>
    </row>
    <row r="144" spans="1:35" x14ac:dyDescent="0.35">
      <c r="B144" s="64">
        <f>+'Option inputs'!$B$23</f>
        <v>9</v>
      </c>
      <c r="C144" s="122" t="str">
        <f>'Option inputs'!$C$23</f>
        <v>Option 3C</v>
      </c>
      <c r="D144" s="119"/>
      <c r="E144" s="68" t="s">
        <v>35</v>
      </c>
      <c r="F144" s="130"/>
      <c r="G144" s="130">
        <v>4209</v>
      </c>
      <c r="H144" s="130">
        <v>554</v>
      </c>
      <c r="I144" s="130">
        <v>207</v>
      </c>
      <c r="J144" s="130">
        <v>1018</v>
      </c>
      <c r="K144" s="130">
        <v>961</v>
      </c>
      <c r="L144" s="130">
        <v>864</v>
      </c>
      <c r="M144" s="130">
        <v>668</v>
      </c>
      <c r="N144" s="130">
        <v>514</v>
      </c>
      <c r="O144" s="130">
        <v>1357</v>
      </c>
      <c r="P144" s="130">
        <v>2316</v>
      </c>
      <c r="Q144" s="130">
        <v>1118</v>
      </c>
      <c r="R144" s="130">
        <v>423445559</v>
      </c>
      <c r="S144" s="130">
        <v>306990609</v>
      </c>
      <c r="T144" s="130">
        <v>83491158</v>
      </c>
      <c r="U144" s="130">
        <v>57767769</v>
      </c>
      <c r="V144" s="130">
        <v>508344311</v>
      </c>
      <c r="W144" s="130">
        <v>46064693</v>
      </c>
      <c r="X144" s="130">
        <v>1383131010</v>
      </c>
      <c r="Y144" s="130">
        <v>44749591</v>
      </c>
      <c r="Z144" s="130">
        <v>22405297</v>
      </c>
      <c r="AA144" s="130">
        <v>97</v>
      </c>
      <c r="AB144" s="130">
        <v>86492802</v>
      </c>
      <c r="AC144" s="130">
        <v>169725382</v>
      </c>
      <c r="AD144" s="130">
        <v>10734611</v>
      </c>
      <c r="AE144" s="56">
        <v>57987243</v>
      </c>
      <c r="AF144" s="56"/>
      <c r="AG144" s="56"/>
      <c r="AH144" s="56"/>
      <c r="AI144" s="56"/>
    </row>
    <row r="145" spans="1:35" x14ac:dyDescent="0.35">
      <c r="B145" s="64">
        <f>+'Option inputs'!$B$24</f>
        <v>10</v>
      </c>
      <c r="C145" s="122" t="str">
        <f>'Option inputs'!$C$24</f>
        <v>Option 4A</v>
      </c>
      <c r="D145" s="119"/>
      <c r="E145" s="68" t="s">
        <v>35</v>
      </c>
      <c r="F145" s="130"/>
      <c r="G145" s="130">
        <v>2628</v>
      </c>
      <c r="H145" s="130">
        <v>342</v>
      </c>
      <c r="I145" s="130">
        <v>93</v>
      </c>
      <c r="J145" s="130">
        <v>758</v>
      </c>
      <c r="K145" s="130">
        <v>693</v>
      </c>
      <c r="L145" s="130">
        <v>677</v>
      </c>
      <c r="M145" s="130">
        <v>517</v>
      </c>
      <c r="N145" s="130">
        <v>302</v>
      </c>
      <c r="O145" s="130">
        <v>988</v>
      </c>
      <c r="P145" s="130">
        <v>125322436</v>
      </c>
      <c r="Q145" s="130">
        <v>1408</v>
      </c>
      <c r="R145" s="130">
        <v>389136336</v>
      </c>
      <c r="S145" s="130">
        <v>297209353</v>
      </c>
      <c r="T145" s="130">
        <v>48617049</v>
      </c>
      <c r="U145" s="130">
        <v>70759928</v>
      </c>
      <c r="V145" s="130">
        <v>472714714</v>
      </c>
      <c r="W145" s="130">
        <v>40431163</v>
      </c>
      <c r="X145" s="130">
        <v>1305464129</v>
      </c>
      <c r="Y145" s="130">
        <v>46499797</v>
      </c>
      <c r="Z145" s="130">
        <v>20920327</v>
      </c>
      <c r="AA145" s="130">
        <v>68</v>
      </c>
      <c r="AB145" s="130">
        <v>88810242</v>
      </c>
      <c r="AC145" s="130">
        <v>170098184</v>
      </c>
      <c r="AD145" s="130">
        <v>10397192</v>
      </c>
      <c r="AE145" s="56">
        <v>58314977</v>
      </c>
      <c r="AF145" s="56"/>
      <c r="AG145" s="56"/>
      <c r="AH145" s="56"/>
      <c r="AI145" s="56"/>
    </row>
    <row r="146" spans="1:35" x14ac:dyDescent="0.35">
      <c r="B146" s="64">
        <f>+'Option inputs'!$B$25</f>
        <v>11</v>
      </c>
      <c r="C146" s="122" t="str">
        <f>'Option inputs'!$C$25</f>
        <v>Option 4B</v>
      </c>
      <c r="D146" s="119"/>
      <c r="E146" s="68" t="s">
        <v>35</v>
      </c>
      <c r="F146" s="130"/>
      <c r="G146" s="130">
        <v>2583</v>
      </c>
      <c r="H146" s="130">
        <v>311</v>
      </c>
      <c r="I146" s="130">
        <v>89</v>
      </c>
      <c r="J146" s="130">
        <v>707</v>
      </c>
      <c r="K146" s="130">
        <v>670</v>
      </c>
      <c r="L146" s="130">
        <v>646</v>
      </c>
      <c r="M146" s="130">
        <v>611</v>
      </c>
      <c r="N146" s="130">
        <v>319</v>
      </c>
      <c r="O146" s="130">
        <v>1098</v>
      </c>
      <c r="P146" s="130">
        <v>2416</v>
      </c>
      <c r="Q146" s="130">
        <v>867</v>
      </c>
      <c r="R146" s="130">
        <v>373809450</v>
      </c>
      <c r="S146" s="130">
        <v>312335327</v>
      </c>
      <c r="T146" s="130">
        <v>103514678</v>
      </c>
      <c r="U146" s="130">
        <v>42427460</v>
      </c>
      <c r="V146" s="130">
        <v>537798848</v>
      </c>
      <c r="W146" s="130">
        <v>57889254</v>
      </c>
      <c r="X146" s="130">
        <v>1374399866</v>
      </c>
      <c r="Y146" s="130">
        <v>43750761</v>
      </c>
      <c r="Z146" s="130">
        <v>23468352</v>
      </c>
      <c r="AA146" s="130">
        <v>130</v>
      </c>
      <c r="AB146" s="130">
        <v>88799922</v>
      </c>
      <c r="AC146" s="130">
        <v>171520195</v>
      </c>
      <c r="AD146" s="130">
        <v>11318792</v>
      </c>
      <c r="AE146" s="56">
        <v>57796247</v>
      </c>
      <c r="AF146" s="56"/>
      <c r="AG146" s="56"/>
      <c r="AH146" s="56"/>
      <c r="AI146" s="56"/>
    </row>
    <row r="147" spans="1:35" x14ac:dyDescent="0.35">
      <c r="B147" s="64">
        <f>+'Option inputs'!$B$26</f>
        <v>12</v>
      </c>
      <c r="C147" s="122" t="str">
        <f>'Option inputs'!$C$26</f>
        <v>Option 4C</v>
      </c>
      <c r="D147" s="119"/>
      <c r="E147" s="68" t="s">
        <v>35</v>
      </c>
      <c r="F147" s="130"/>
      <c r="G147" s="130">
        <v>669</v>
      </c>
      <c r="H147" s="130">
        <v>45</v>
      </c>
      <c r="I147" s="130">
        <v>47</v>
      </c>
      <c r="J147" s="130">
        <v>144</v>
      </c>
      <c r="K147" s="130">
        <v>167</v>
      </c>
      <c r="L147" s="130">
        <v>128</v>
      </c>
      <c r="M147" s="130">
        <v>147</v>
      </c>
      <c r="N147" s="130">
        <v>75</v>
      </c>
      <c r="O147" s="130">
        <v>255</v>
      </c>
      <c r="P147" s="130">
        <v>381</v>
      </c>
      <c r="Q147" s="130">
        <v>141</v>
      </c>
      <c r="R147" s="130">
        <v>373321801</v>
      </c>
      <c r="S147" s="130">
        <v>313238421</v>
      </c>
      <c r="T147" s="130">
        <v>103680375</v>
      </c>
      <c r="U147" s="130">
        <v>42366796</v>
      </c>
      <c r="V147" s="130">
        <v>537019940</v>
      </c>
      <c r="W147" s="130">
        <v>58751391</v>
      </c>
      <c r="X147" s="130">
        <v>1374219228</v>
      </c>
      <c r="Y147" s="130">
        <v>43058498</v>
      </c>
      <c r="Z147" s="130">
        <v>23505346</v>
      </c>
      <c r="AA147" s="130">
        <v>71</v>
      </c>
      <c r="AB147" s="130">
        <v>88803199</v>
      </c>
      <c r="AC147" s="130">
        <v>171473090</v>
      </c>
      <c r="AD147" s="130">
        <v>11312223</v>
      </c>
      <c r="AE147" s="56">
        <v>57783752</v>
      </c>
      <c r="AF147" s="56"/>
      <c r="AG147" s="56"/>
      <c r="AH147" s="56"/>
      <c r="AI147" s="56"/>
    </row>
    <row r="148" spans="1:35" s="47" customFormat="1" x14ac:dyDescent="0.35">
      <c r="A148" s="87"/>
      <c r="B148" s="65"/>
      <c r="C148" s="76"/>
      <c r="D148" s="70"/>
      <c r="E148" s="77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</row>
    <row r="149" spans="1:35" s="47" customFormat="1" x14ac:dyDescent="0.35">
      <c r="A149" s="87"/>
      <c r="B149" s="59" t="s">
        <v>14</v>
      </c>
      <c r="C149" s="59" t="s">
        <v>13</v>
      </c>
      <c r="D149" s="80" t="str">
        <f>'Interface and charts'!$J$6</f>
        <v>Step change</v>
      </c>
      <c r="E149" s="63" t="s">
        <v>7</v>
      </c>
      <c r="F149" s="171" t="str">
        <f>Calculation!G$56</f>
        <v>FY 2019-20</v>
      </c>
      <c r="G149" s="171" t="str">
        <f>Calculation!H$56</f>
        <v>FY 2020-21</v>
      </c>
      <c r="H149" s="171" t="str">
        <f>Calculation!I$56</f>
        <v>FY 2021-22</v>
      </c>
      <c r="I149" s="171" t="str">
        <f>Calculation!J$56</f>
        <v>FY 2022-23</v>
      </c>
      <c r="J149" s="171" t="str">
        <f>Calculation!K$56</f>
        <v>FY 2023-24</v>
      </c>
      <c r="K149" s="171" t="str">
        <f>Calculation!L$56</f>
        <v>FY 2024-25</v>
      </c>
      <c r="L149" s="171" t="str">
        <f>Calculation!M$56</f>
        <v>FY 2025-26</v>
      </c>
      <c r="M149" s="171" t="str">
        <f>Calculation!N$56</f>
        <v>FY 2026-27</v>
      </c>
      <c r="N149" s="171" t="str">
        <f>Calculation!O$56</f>
        <v>FY 2027-28</v>
      </c>
      <c r="O149" s="171" t="str">
        <f>Calculation!P$56</f>
        <v>FY 2028-29</v>
      </c>
      <c r="P149" s="171" t="str">
        <f>Calculation!Q$56</f>
        <v>FY 2029-30</v>
      </c>
      <c r="Q149" s="171" t="str">
        <f>Calculation!R$56</f>
        <v>FY 2030-31</v>
      </c>
      <c r="R149" s="171" t="str">
        <f>Calculation!S$56</f>
        <v>FY 2031-32</v>
      </c>
      <c r="S149" s="171" t="str">
        <f>Calculation!T$56</f>
        <v>FY 2032-33</v>
      </c>
      <c r="T149" s="171" t="str">
        <f>Calculation!U$56</f>
        <v>FY 2033-34</v>
      </c>
      <c r="U149" s="171" t="str">
        <f>Calculation!V$56</f>
        <v>FY 2034-35</v>
      </c>
      <c r="V149" s="171" t="str">
        <f>Calculation!W$56</f>
        <v>FY 2035-36</v>
      </c>
      <c r="W149" s="171" t="str">
        <f>Calculation!X$56</f>
        <v>FY 2036-37</v>
      </c>
      <c r="X149" s="171" t="str">
        <f>Calculation!Y$56</f>
        <v>FY 2037-38</v>
      </c>
      <c r="Y149" s="171" t="str">
        <f>Calculation!Z$56</f>
        <v>FY 2038-39</v>
      </c>
      <c r="Z149" s="171" t="str">
        <f>Calculation!AA$56</f>
        <v>FY 2039-40</v>
      </c>
      <c r="AA149" s="171" t="str">
        <f>Calculation!AB$56</f>
        <v>FY 2040-41</v>
      </c>
      <c r="AB149" s="171" t="str">
        <f>Calculation!AC$56</f>
        <v>FY 2041-42</v>
      </c>
      <c r="AC149" s="171" t="str">
        <f>Calculation!AD$56</f>
        <v>FY 2042-43</v>
      </c>
      <c r="AD149" s="171" t="str">
        <f>Calculation!AE$56</f>
        <v>FY 2043-44</v>
      </c>
      <c r="AE149" s="171" t="str">
        <f>Calculation!AF$56</f>
        <v>FY 2044-45</v>
      </c>
      <c r="AF149" s="171" t="str">
        <f>Calculation!AG$56</f>
        <v>FY 2045-46</v>
      </c>
      <c r="AG149" s="171" t="str">
        <f>Calculation!AH$56</f>
        <v>FY 2046-47</v>
      </c>
      <c r="AH149" s="171" t="str">
        <f>Calculation!AI$56</f>
        <v>FY 2047-48</v>
      </c>
      <c r="AI149" s="171" t="str">
        <f>Calculation!AJ$56</f>
        <v>FY 2048-49</v>
      </c>
    </row>
    <row r="150" spans="1:35" s="47" customFormat="1" x14ac:dyDescent="0.35">
      <c r="A150" s="87"/>
      <c r="B150" s="9">
        <v>0</v>
      </c>
      <c r="C150" s="123" t="str">
        <f>'Option inputs'!$C$14</f>
        <v>Base case</v>
      </c>
      <c r="D150" s="62"/>
      <c r="E150" s="68" t="s">
        <v>35</v>
      </c>
      <c r="F150" s="151"/>
      <c r="G150" s="151">
        <v>2973</v>
      </c>
      <c r="H150" s="151">
        <v>95</v>
      </c>
      <c r="I150" s="151">
        <v>50</v>
      </c>
      <c r="J150" s="151">
        <v>1356</v>
      </c>
      <c r="K150" s="151">
        <v>26954879</v>
      </c>
      <c r="L150" s="151">
        <v>886</v>
      </c>
      <c r="M150" s="151">
        <v>246572295</v>
      </c>
      <c r="N150" s="151">
        <v>113331841</v>
      </c>
      <c r="O150" s="151">
        <v>273736426</v>
      </c>
      <c r="P150" s="151">
        <v>362352887</v>
      </c>
      <c r="Q150" s="151">
        <v>329313151</v>
      </c>
      <c r="R150" s="151">
        <v>21</v>
      </c>
      <c r="S150" s="151">
        <v>349086153</v>
      </c>
      <c r="T150" s="151">
        <v>206703974</v>
      </c>
      <c r="U150" s="151">
        <v>18726093</v>
      </c>
      <c r="V150" s="151">
        <v>95701034</v>
      </c>
      <c r="W150" s="151">
        <v>76427784</v>
      </c>
      <c r="X150" s="151">
        <v>1315342891</v>
      </c>
      <c r="Y150" s="151">
        <v>86971854</v>
      </c>
      <c r="Z150" s="151">
        <v>77651962</v>
      </c>
      <c r="AA150" s="151">
        <v>45644491</v>
      </c>
      <c r="AB150" s="151">
        <v>220826341</v>
      </c>
      <c r="AC150" s="151">
        <v>68558858</v>
      </c>
      <c r="AD150" s="151">
        <v>624670</v>
      </c>
      <c r="AE150" s="151">
        <v>2901759</v>
      </c>
      <c r="AF150" s="151"/>
      <c r="AG150" s="151"/>
      <c r="AH150" s="151"/>
      <c r="AI150" s="151"/>
    </row>
    <row r="151" spans="1:35" s="47" customFormat="1" x14ac:dyDescent="0.35">
      <c r="A151" s="87"/>
      <c r="B151" s="9">
        <v>1</v>
      </c>
      <c r="C151" s="122" t="str">
        <f>'Option inputs'!$C$15</f>
        <v>Option 1A</v>
      </c>
      <c r="D151" s="62"/>
      <c r="E151" s="68" t="s">
        <v>35</v>
      </c>
      <c r="F151" s="151"/>
      <c r="G151" s="151">
        <v>207</v>
      </c>
      <c r="H151" s="151">
        <v>0</v>
      </c>
      <c r="I151" s="151">
        <v>3</v>
      </c>
      <c r="J151" s="151">
        <v>81</v>
      </c>
      <c r="K151" s="151">
        <v>22197572</v>
      </c>
      <c r="L151" s="151">
        <v>65</v>
      </c>
      <c r="M151" s="151">
        <v>243652424</v>
      </c>
      <c r="N151" s="151">
        <v>106611071</v>
      </c>
      <c r="O151" s="151">
        <v>255533122</v>
      </c>
      <c r="P151" s="151">
        <v>384657174</v>
      </c>
      <c r="Q151" s="151">
        <v>317671701</v>
      </c>
      <c r="R151" s="151">
        <v>1</v>
      </c>
      <c r="S151" s="151">
        <v>363369726</v>
      </c>
      <c r="T151" s="151">
        <v>214234601</v>
      </c>
      <c r="U151" s="151">
        <v>22951406</v>
      </c>
      <c r="V151" s="151">
        <v>21032919</v>
      </c>
      <c r="W151" s="151">
        <v>55124713</v>
      </c>
      <c r="X151" s="151">
        <v>1372179918</v>
      </c>
      <c r="Y151" s="151">
        <v>73071946</v>
      </c>
      <c r="Z151" s="151">
        <v>76789558</v>
      </c>
      <c r="AA151" s="151">
        <v>38940162</v>
      </c>
      <c r="AB151" s="151">
        <v>222760127</v>
      </c>
      <c r="AC151" s="151">
        <v>63963214</v>
      </c>
      <c r="AD151" s="151">
        <v>1881911</v>
      </c>
      <c r="AE151" s="151">
        <v>3757820</v>
      </c>
      <c r="AF151" s="151"/>
      <c r="AG151" s="151"/>
      <c r="AH151" s="151"/>
      <c r="AI151" s="151"/>
    </row>
    <row r="152" spans="1:35" s="47" customFormat="1" x14ac:dyDescent="0.35">
      <c r="A152" s="87"/>
      <c r="B152" s="9">
        <v>2</v>
      </c>
      <c r="C152" s="122" t="str">
        <f>'Option inputs'!$C$16</f>
        <v>Option 1B</v>
      </c>
      <c r="D152" s="62"/>
      <c r="E152" s="68" t="s">
        <v>35</v>
      </c>
      <c r="F152" s="151"/>
      <c r="G152" s="151">
        <v>1018</v>
      </c>
      <c r="H152" s="151">
        <v>17</v>
      </c>
      <c r="I152" s="151">
        <v>23</v>
      </c>
      <c r="J152" s="151">
        <v>383</v>
      </c>
      <c r="K152" s="151">
        <v>302</v>
      </c>
      <c r="L152" s="151">
        <v>331</v>
      </c>
      <c r="M152" s="151">
        <v>211861382</v>
      </c>
      <c r="N152" s="151">
        <v>155312410</v>
      </c>
      <c r="O152" s="151">
        <v>286598432</v>
      </c>
      <c r="P152" s="151">
        <v>339491476</v>
      </c>
      <c r="Q152" s="151">
        <v>307728102</v>
      </c>
      <c r="R152" s="151">
        <v>17</v>
      </c>
      <c r="S152" s="151">
        <v>378396676</v>
      </c>
      <c r="T152" s="151">
        <v>230875580</v>
      </c>
      <c r="U152" s="151">
        <v>26499966</v>
      </c>
      <c r="V152" s="151">
        <v>6154</v>
      </c>
      <c r="W152" s="151">
        <v>32489220</v>
      </c>
      <c r="X152" s="151">
        <v>1323883732</v>
      </c>
      <c r="Y152" s="151">
        <v>77994935</v>
      </c>
      <c r="Z152" s="151">
        <v>107592844</v>
      </c>
      <c r="AA152" s="151">
        <v>12984005</v>
      </c>
      <c r="AB152" s="151">
        <v>222681633</v>
      </c>
      <c r="AC152" s="151">
        <v>66285151</v>
      </c>
      <c r="AD152" s="151">
        <v>3800106</v>
      </c>
      <c r="AE152" s="151">
        <v>3983601</v>
      </c>
      <c r="AF152" s="151"/>
      <c r="AG152" s="151"/>
      <c r="AH152" s="151"/>
      <c r="AI152" s="151"/>
    </row>
    <row r="153" spans="1:35" s="47" customFormat="1" x14ac:dyDescent="0.35">
      <c r="A153" s="87"/>
      <c r="B153" s="9">
        <v>3</v>
      </c>
      <c r="C153" s="122" t="str">
        <f>'Option inputs'!$C$17</f>
        <v>Option 1C</v>
      </c>
      <c r="D153" s="62"/>
      <c r="E153" s="68" t="s">
        <v>35</v>
      </c>
      <c r="F153" s="151"/>
      <c r="G153" s="151">
        <v>738</v>
      </c>
      <c r="H153" s="151">
        <v>3</v>
      </c>
      <c r="I153" s="151">
        <v>13</v>
      </c>
      <c r="J153" s="151">
        <v>284</v>
      </c>
      <c r="K153" s="151">
        <v>42218418</v>
      </c>
      <c r="L153" s="151">
        <v>215</v>
      </c>
      <c r="M153" s="151">
        <v>183901915</v>
      </c>
      <c r="N153" s="151">
        <v>148232664</v>
      </c>
      <c r="O153" s="151">
        <v>303441025</v>
      </c>
      <c r="P153" s="151">
        <v>322743429</v>
      </c>
      <c r="Q153" s="151">
        <v>305399668</v>
      </c>
      <c r="R153" s="151">
        <v>12</v>
      </c>
      <c r="S153" s="151">
        <v>378203093</v>
      </c>
      <c r="T153" s="151">
        <v>230746877</v>
      </c>
      <c r="U153" s="151">
        <v>26452965</v>
      </c>
      <c r="V153" s="151">
        <v>4439</v>
      </c>
      <c r="W153" s="151">
        <v>32509198</v>
      </c>
      <c r="X153" s="151">
        <v>1323283227</v>
      </c>
      <c r="Y153" s="151">
        <v>78000330</v>
      </c>
      <c r="Z153" s="151">
        <v>107589442</v>
      </c>
      <c r="AA153" s="151">
        <v>12984498</v>
      </c>
      <c r="AB153" s="151">
        <v>222682887</v>
      </c>
      <c r="AC153" s="151">
        <v>66284396</v>
      </c>
      <c r="AD153" s="151">
        <v>3799487</v>
      </c>
      <c r="AE153" s="151">
        <v>3984528</v>
      </c>
      <c r="AF153" s="151"/>
      <c r="AG153" s="151"/>
      <c r="AH153" s="151"/>
      <c r="AI153" s="151"/>
    </row>
    <row r="154" spans="1:35" s="47" customFormat="1" x14ac:dyDescent="0.35">
      <c r="A154" s="87"/>
      <c r="B154" s="9">
        <v>4</v>
      </c>
      <c r="C154" s="122" t="str">
        <f>'Option inputs'!$C$18</f>
        <v>Option 2A</v>
      </c>
      <c r="D154" s="62"/>
      <c r="E154" s="68" t="s">
        <v>35</v>
      </c>
      <c r="F154" s="151"/>
      <c r="G154" s="151">
        <v>291</v>
      </c>
      <c r="H154" s="151">
        <v>0</v>
      </c>
      <c r="I154" s="151">
        <v>4</v>
      </c>
      <c r="J154" s="151">
        <v>113</v>
      </c>
      <c r="K154" s="151">
        <v>102</v>
      </c>
      <c r="L154" s="151">
        <v>67</v>
      </c>
      <c r="M154" s="151">
        <v>200619674</v>
      </c>
      <c r="N154" s="151">
        <v>115</v>
      </c>
      <c r="O154" s="151">
        <v>216299862</v>
      </c>
      <c r="P154" s="151">
        <v>281752139</v>
      </c>
      <c r="Q154" s="151">
        <v>332918061</v>
      </c>
      <c r="R154" s="151">
        <v>1</v>
      </c>
      <c r="S154" s="151">
        <v>411993060</v>
      </c>
      <c r="T154" s="151">
        <v>236241014</v>
      </c>
      <c r="U154" s="151">
        <v>21170299</v>
      </c>
      <c r="V154" s="151">
        <v>21</v>
      </c>
      <c r="W154" s="151">
        <v>33101704</v>
      </c>
      <c r="X154" s="151">
        <v>1580400020</v>
      </c>
      <c r="Y154" s="151">
        <v>62162327</v>
      </c>
      <c r="Z154" s="151">
        <v>59729321</v>
      </c>
      <c r="AA154" s="151">
        <v>29520054</v>
      </c>
      <c r="AB154" s="151">
        <v>259744455</v>
      </c>
      <c r="AC154" s="151">
        <v>79278833</v>
      </c>
      <c r="AD154" s="151">
        <v>7827112</v>
      </c>
      <c r="AE154" s="151">
        <v>471833</v>
      </c>
      <c r="AF154" s="151"/>
      <c r="AG154" s="151"/>
      <c r="AH154" s="151"/>
      <c r="AI154" s="151"/>
    </row>
    <row r="155" spans="1:35" s="47" customFormat="1" x14ac:dyDescent="0.35">
      <c r="A155" s="87"/>
      <c r="B155" s="9">
        <v>5</v>
      </c>
      <c r="C155" s="122" t="str">
        <f>'Option inputs'!$C$19</f>
        <v>Option 2B</v>
      </c>
      <c r="D155" s="62"/>
      <c r="E155" s="68" t="s">
        <v>35</v>
      </c>
      <c r="F155" s="151"/>
      <c r="G155" s="151">
        <v>4540</v>
      </c>
      <c r="H155" s="151">
        <v>158</v>
      </c>
      <c r="I155" s="151">
        <v>87</v>
      </c>
      <c r="J155" s="151">
        <v>1796</v>
      </c>
      <c r="K155" s="151">
        <v>1473</v>
      </c>
      <c r="L155" s="151">
        <v>873</v>
      </c>
      <c r="M155" s="151">
        <v>137046375</v>
      </c>
      <c r="N155" s="151">
        <v>38093599</v>
      </c>
      <c r="O155" s="151">
        <v>201508940</v>
      </c>
      <c r="P155" s="151">
        <v>308495646</v>
      </c>
      <c r="Q155" s="151">
        <v>319527623</v>
      </c>
      <c r="R155" s="151">
        <v>35</v>
      </c>
      <c r="S155" s="151">
        <v>375074085</v>
      </c>
      <c r="T155" s="151">
        <v>233593383</v>
      </c>
      <c r="U155" s="151">
        <v>21953317</v>
      </c>
      <c r="V155" s="151">
        <v>229</v>
      </c>
      <c r="W155" s="151">
        <v>26808914</v>
      </c>
      <c r="X155" s="151">
        <v>1518407522</v>
      </c>
      <c r="Y155" s="151">
        <v>69707418</v>
      </c>
      <c r="Z155" s="151">
        <v>85407897</v>
      </c>
      <c r="AA155" s="151">
        <v>244</v>
      </c>
      <c r="AB155" s="151">
        <v>257590332</v>
      </c>
      <c r="AC155" s="151">
        <v>78631960</v>
      </c>
      <c r="AD155" s="151">
        <v>10353881</v>
      </c>
      <c r="AE155" s="151">
        <v>1476</v>
      </c>
      <c r="AF155" s="151"/>
      <c r="AG155" s="151"/>
      <c r="AH155" s="151"/>
      <c r="AI155" s="151"/>
    </row>
    <row r="156" spans="1:35" s="47" customFormat="1" x14ac:dyDescent="0.35">
      <c r="A156" s="87"/>
      <c r="B156" s="9">
        <v>6</v>
      </c>
      <c r="C156" s="122" t="str">
        <f>'Option inputs'!$C$20</f>
        <v>Option 2C</v>
      </c>
      <c r="D156" s="62"/>
      <c r="E156" s="68" t="s">
        <v>35</v>
      </c>
      <c r="F156" s="151"/>
      <c r="G156" s="151">
        <v>6129</v>
      </c>
      <c r="H156" s="151">
        <v>98</v>
      </c>
      <c r="I156" s="151">
        <v>178</v>
      </c>
      <c r="J156" s="151">
        <v>2163</v>
      </c>
      <c r="K156" s="151">
        <v>2493</v>
      </c>
      <c r="L156" s="151">
        <v>718</v>
      </c>
      <c r="M156" s="151">
        <v>127909762</v>
      </c>
      <c r="N156" s="151">
        <v>36509543</v>
      </c>
      <c r="O156" s="151">
        <v>197168990</v>
      </c>
      <c r="P156" s="151">
        <v>322392405</v>
      </c>
      <c r="Q156" s="151">
        <v>319510058</v>
      </c>
      <c r="R156" s="151">
        <v>41</v>
      </c>
      <c r="S156" s="151">
        <v>375136995</v>
      </c>
      <c r="T156" s="151">
        <v>233606736</v>
      </c>
      <c r="U156" s="151">
        <v>21962596</v>
      </c>
      <c r="V156" s="151">
        <v>280</v>
      </c>
      <c r="W156" s="151">
        <v>26814213</v>
      </c>
      <c r="X156" s="151">
        <v>1518279291</v>
      </c>
      <c r="Y156" s="151">
        <v>69703201</v>
      </c>
      <c r="Z156" s="151">
        <v>85402599</v>
      </c>
      <c r="AA156" s="151">
        <v>611</v>
      </c>
      <c r="AB156" s="151">
        <v>257651740</v>
      </c>
      <c r="AC156" s="151">
        <v>78643210</v>
      </c>
      <c r="AD156" s="151">
        <v>10350613</v>
      </c>
      <c r="AE156" s="151">
        <v>2208</v>
      </c>
      <c r="AF156" s="151"/>
      <c r="AG156" s="151"/>
      <c r="AH156" s="151"/>
      <c r="AI156" s="151"/>
    </row>
    <row r="157" spans="1:35" s="47" customFormat="1" x14ac:dyDescent="0.35">
      <c r="A157" s="87"/>
      <c r="B157" s="9">
        <v>7</v>
      </c>
      <c r="C157" s="122" t="str">
        <f>'Option inputs'!$C$21</f>
        <v>Option 3A</v>
      </c>
      <c r="D157" s="62"/>
      <c r="E157" s="68" t="s">
        <v>35</v>
      </c>
      <c r="F157" s="130"/>
      <c r="G157" s="130">
        <v>899</v>
      </c>
      <c r="H157" s="151">
        <v>1</v>
      </c>
      <c r="I157" s="151">
        <v>13</v>
      </c>
      <c r="J157" s="151">
        <v>351</v>
      </c>
      <c r="K157" s="151">
        <v>324</v>
      </c>
      <c r="L157" s="151">
        <v>284</v>
      </c>
      <c r="M157" s="151">
        <v>242799232</v>
      </c>
      <c r="N157" s="151">
        <v>408</v>
      </c>
      <c r="O157" s="151">
        <v>232816730</v>
      </c>
      <c r="P157" s="151">
        <v>268297825</v>
      </c>
      <c r="Q157" s="151">
        <v>312544324</v>
      </c>
      <c r="R157" s="151">
        <v>1</v>
      </c>
      <c r="S157" s="151">
        <v>412400992</v>
      </c>
      <c r="T157" s="151">
        <v>237002388</v>
      </c>
      <c r="U157" s="151">
        <v>21522769</v>
      </c>
      <c r="V157" s="151">
        <v>2711</v>
      </c>
      <c r="W157" s="151">
        <v>38760116</v>
      </c>
      <c r="X157" s="151">
        <v>1549016728</v>
      </c>
      <c r="Y157" s="151">
        <v>61620755</v>
      </c>
      <c r="Z157" s="151">
        <v>54707684</v>
      </c>
      <c r="AA157" s="151">
        <v>37231757</v>
      </c>
      <c r="AB157" s="151">
        <v>226840985</v>
      </c>
      <c r="AC157" s="151">
        <v>77003512</v>
      </c>
      <c r="AD157" s="151">
        <v>7523399</v>
      </c>
      <c r="AE157" s="151">
        <v>1061560</v>
      </c>
      <c r="AF157" s="151"/>
      <c r="AG157" s="151"/>
      <c r="AH157" s="151"/>
      <c r="AI157" s="151"/>
    </row>
    <row r="158" spans="1:35" s="47" customFormat="1" x14ac:dyDescent="0.35">
      <c r="A158" s="87"/>
      <c r="B158" s="64">
        <f>+'Option inputs'!$B$22</f>
        <v>8</v>
      </c>
      <c r="C158" s="122" t="str">
        <f>'Option inputs'!$C$22</f>
        <v>Option 3B</v>
      </c>
      <c r="D158" s="62"/>
      <c r="E158" s="68" t="s">
        <v>35</v>
      </c>
      <c r="F158" s="130"/>
      <c r="G158" s="130">
        <v>2112</v>
      </c>
      <c r="H158" s="151">
        <v>75</v>
      </c>
      <c r="I158" s="151">
        <v>42</v>
      </c>
      <c r="J158" s="151">
        <v>929</v>
      </c>
      <c r="K158" s="151">
        <v>631</v>
      </c>
      <c r="L158" s="151">
        <v>525</v>
      </c>
      <c r="M158" s="151">
        <v>153071151</v>
      </c>
      <c r="N158" s="151">
        <v>32913819</v>
      </c>
      <c r="O158" s="151">
        <v>206138865</v>
      </c>
      <c r="P158" s="151">
        <v>299520787</v>
      </c>
      <c r="Q158" s="151">
        <v>319217186</v>
      </c>
      <c r="R158" s="151">
        <v>9</v>
      </c>
      <c r="S158" s="151">
        <v>373487152</v>
      </c>
      <c r="T158" s="151">
        <v>233232840</v>
      </c>
      <c r="U158" s="151">
        <v>22796953</v>
      </c>
      <c r="V158" s="151">
        <v>86</v>
      </c>
      <c r="W158" s="151">
        <v>26688275</v>
      </c>
      <c r="X158" s="151">
        <v>1514772516</v>
      </c>
      <c r="Y158" s="151">
        <v>71360972</v>
      </c>
      <c r="Z158" s="151">
        <v>85173859</v>
      </c>
      <c r="AA158" s="151">
        <v>136</v>
      </c>
      <c r="AB158" s="151">
        <v>258180782</v>
      </c>
      <c r="AC158" s="151">
        <v>78447878</v>
      </c>
      <c r="AD158" s="151">
        <v>10427467</v>
      </c>
      <c r="AE158" s="151">
        <v>884</v>
      </c>
      <c r="AF158" s="151"/>
      <c r="AG158" s="151"/>
      <c r="AH158" s="151"/>
      <c r="AI158" s="151"/>
    </row>
    <row r="159" spans="1:35" s="47" customFormat="1" x14ac:dyDescent="0.35">
      <c r="A159" s="87"/>
      <c r="B159" s="64">
        <f>+'Option inputs'!$B$23</f>
        <v>9</v>
      </c>
      <c r="C159" s="122" t="str">
        <f>'Option inputs'!$C$23</f>
        <v>Option 3C</v>
      </c>
      <c r="D159" s="62"/>
      <c r="E159" s="68" t="s">
        <v>35</v>
      </c>
      <c r="F159" s="130"/>
      <c r="G159" s="130">
        <v>3873</v>
      </c>
      <c r="H159" s="151">
        <v>66</v>
      </c>
      <c r="I159" s="151">
        <v>81</v>
      </c>
      <c r="J159" s="151">
        <v>1829</v>
      </c>
      <c r="K159" s="151">
        <v>1739</v>
      </c>
      <c r="L159" s="151">
        <v>707</v>
      </c>
      <c r="M159" s="151">
        <v>140985602</v>
      </c>
      <c r="N159" s="151">
        <v>32266022</v>
      </c>
      <c r="O159" s="151">
        <v>196089603</v>
      </c>
      <c r="P159" s="151">
        <v>320741073</v>
      </c>
      <c r="Q159" s="151">
        <v>319094791</v>
      </c>
      <c r="R159" s="151">
        <v>23</v>
      </c>
      <c r="S159" s="151">
        <v>373419892</v>
      </c>
      <c r="T159" s="151">
        <v>233393680</v>
      </c>
      <c r="U159" s="151">
        <v>22826258</v>
      </c>
      <c r="V159" s="151">
        <v>249</v>
      </c>
      <c r="W159" s="151">
        <v>26703726</v>
      </c>
      <c r="X159" s="151">
        <v>1514556072</v>
      </c>
      <c r="Y159" s="151">
        <v>71327128</v>
      </c>
      <c r="Z159" s="151">
        <v>85182368</v>
      </c>
      <c r="AA159" s="151">
        <v>505</v>
      </c>
      <c r="AB159" s="151">
        <v>258286845</v>
      </c>
      <c r="AC159" s="151">
        <v>78473760</v>
      </c>
      <c r="AD159" s="151">
        <v>10429747</v>
      </c>
      <c r="AE159" s="151">
        <v>1867</v>
      </c>
      <c r="AF159" s="151"/>
      <c r="AG159" s="151"/>
      <c r="AH159" s="151"/>
      <c r="AI159" s="151"/>
    </row>
    <row r="160" spans="1:35" s="47" customFormat="1" x14ac:dyDescent="0.35">
      <c r="A160" s="87"/>
      <c r="B160" s="64">
        <f>+'Option inputs'!$B$24</f>
        <v>10</v>
      </c>
      <c r="C160" s="122" t="str">
        <f>'Option inputs'!$C$24</f>
        <v>Option 4A</v>
      </c>
      <c r="D160" s="62"/>
      <c r="E160" s="68" t="s">
        <v>35</v>
      </c>
      <c r="F160" s="130"/>
      <c r="G160" s="130">
        <v>157</v>
      </c>
      <c r="H160" s="151">
        <v>0</v>
      </c>
      <c r="I160" s="151">
        <v>2</v>
      </c>
      <c r="J160" s="151">
        <v>61</v>
      </c>
      <c r="K160" s="151">
        <v>55</v>
      </c>
      <c r="L160" s="151">
        <v>53</v>
      </c>
      <c r="M160" s="151">
        <v>234998371</v>
      </c>
      <c r="N160" s="151">
        <v>68</v>
      </c>
      <c r="O160" s="151">
        <v>208738406</v>
      </c>
      <c r="P160" s="151">
        <v>259088035</v>
      </c>
      <c r="Q160" s="151">
        <v>326226641</v>
      </c>
      <c r="R160" s="151">
        <v>0</v>
      </c>
      <c r="S160" s="151">
        <v>410227587</v>
      </c>
      <c r="T160" s="151">
        <v>235007115</v>
      </c>
      <c r="U160" s="151">
        <v>22538583</v>
      </c>
      <c r="V160" s="151">
        <v>117</v>
      </c>
      <c r="W160" s="151">
        <v>38163325</v>
      </c>
      <c r="X160" s="151">
        <v>1577441716</v>
      </c>
      <c r="Y160" s="151">
        <v>63070794</v>
      </c>
      <c r="Z160" s="151">
        <v>52822927</v>
      </c>
      <c r="AA160" s="151">
        <v>31715632</v>
      </c>
      <c r="AB160" s="151">
        <v>233492599</v>
      </c>
      <c r="AC160" s="151">
        <v>77366329</v>
      </c>
      <c r="AD160" s="151">
        <v>8418602</v>
      </c>
      <c r="AE160" s="151">
        <v>716114</v>
      </c>
      <c r="AF160" s="151"/>
      <c r="AG160" s="151"/>
      <c r="AH160" s="151"/>
      <c r="AI160" s="151"/>
    </row>
    <row r="161" spans="1:63" s="47" customFormat="1" x14ac:dyDescent="0.35">
      <c r="A161" s="87"/>
      <c r="B161" s="64">
        <f>+'Option inputs'!$B$25</f>
        <v>11</v>
      </c>
      <c r="C161" s="122" t="str">
        <f>'Option inputs'!$C$25</f>
        <v>Option 4B</v>
      </c>
      <c r="D161" s="62"/>
      <c r="E161" s="68" t="s">
        <v>35</v>
      </c>
      <c r="F161" s="130"/>
      <c r="G161" s="130">
        <v>843</v>
      </c>
      <c r="H161" s="151">
        <v>2</v>
      </c>
      <c r="I161" s="151">
        <v>13</v>
      </c>
      <c r="J161" s="151">
        <v>326</v>
      </c>
      <c r="K161" s="151">
        <v>243</v>
      </c>
      <c r="L161" s="151">
        <v>229</v>
      </c>
      <c r="M161" s="151">
        <v>58106842</v>
      </c>
      <c r="N161" s="151">
        <v>108367200</v>
      </c>
      <c r="O161" s="151">
        <v>190689561</v>
      </c>
      <c r="P161" s="151">
        <v>311982383</v>
      </c>
      <c r="Q161" s="151">
        <v>297020880</v>
      </c>
      <c r="R161" s="151">
        <v>3</v>
      </c>
      <c r="S161" s="151">
        <v>372431821</v>
      </c>
      <c r="T161" s="151">
        <v>231973195</v>
      </c>
      <c r="U161" s="151">
        <v>21676880</v>
      </c>
      <c r="V161" s="151">
        <v>34</v>
      </c>
      <c r="W161" s="151">
        <v>27254996</v>
      </c>
      <c r="X161" s="151">
        <v>1509235824</v>
      </c>
      <c r="Y161" s="151">
        <v>75148029</v>
      </c>
      <c r="Z161" s="151">
        <v>89163382</v>
      </c>
      <c r="AA161" s="151">
        <v>81</v>
      </c>
      <c r="AB161" s="151">
        <v>251847237</v>
      </c>
      <c r="AC161" s="151">
        <v>82657368</v>
      </c>
      <c r="AD161" s="151">
        <v>11262084</v>
      </c>
      <c r="AE161" s="151">
        <v>2065</v>
      </c>
      <c r="AF161" s="151"/>
      <c r="AG161" s="151"/>
      <c r="AH161" s="151"/>
      <c r="AI161" s="151"/>
    </row>
    <row r="162" spans="1:63" s="47" customFormat="1" x14ac:dyDescent="0.35">
      <c r="A162" s="87"/>
      <c r="B162" s="64">
        <f>+'Option inputs'!$B$26</f>
        <v>12</v>
      </c>
      <c r="C162" s="122" t="str">
        <f>'Option inputs'!$C$26</f>
        <v>Option 4C</v>
      </c>
      <c r="D162" s="62"/>
      <c r="E162" s="68" t="s">
        <v>35</v>
      </c>
      <c r="F162" s="130"/>
      <c r="G162" s="130">
        <v>3381</v>
      </c>
      <c r="H162" s="151">
        <v>136</v>
      </c>
      <c r="I162" s="151">
        <v>95</v>
      </c>
      <c r="J162" s="151">
        <v>1098</v>
      </c>
      <c r="K162" s="151">
        <v>1136</v>
      </c>
      <c r="L162" s="151">
        <v>527</v>
      </c>
      <c r="M162" s="151">
        <v>52643528</v>
      </c>
      <c r="N162" s="151">
        <v>99454817</v>
      </c>
      <c r="O162" s="151">
        <v>179694827</v>
      </c>
      <c r="P162" s="151">
        <v>335501127</v>
      </c>
      <c r="Q162" s="151">
        <v>297239746</v>
      </c>
      <c r="R162" s="151">
        <v>12</v>
      </c>
      <c r="S162" s="151">
        <v>372514334</v>
      </c>
      <c r="T162" s="151">
        <v>231975329</v>
      </c>
      <c r="U162" s="151">
        <v>21690278</v>
      </c>
      <c r="V162" s="151">
        <v>87</v>
      </c>
      <c r="W162" s="151">
        <v>27273857</v>
      </c>
      <c r="X162" s="151">
        <v>1509030181</v>
      </c>
      <c r="Y162" s="151">
        <v>75115137</v>
      </c>
      <c r="Z162" s="151">
        <v>89165882</v>
      </c>
      <c r="AA162" s="151">
        <v>178</v>
      </c>
      <c r="AB162" s="151">
        <v>251984456</v>
      </c>
      <c r="AC162" s="151">
        <v>82652003</v>
      </c>
      <c r="AD162" s="151">
        <v>11269411</v>
      </c>
      <c r="AE162" s="151">
        <v>4764</v>
      </c>
      <c r="AF162" s="151"/>
      <c r="AG162" s="151"/>
      <c r="AH162" s="151"/>
      <c r="AI162" s="151"/>
    </row>
    <row r="163" spans="1:63" s="47" customFormat="1" x14ac:dyDescent="0.35">
      <c r="A163" s="87"/>
      <c r="B163" s="65"/>
      <c r="C163" s="76"/>
      <c r="D163" s="46"/>
      <c r="E163" s="77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</row>
    <row r="164" spans="1:63" s="47" customFormat="1" x14ac:dyDescent="0.35">
      <c r="A164" s="87"/>
      <c r="B164" s="59" t="s">
        <v>14</v>
      </c>
      <c r="C164" s="59" t="s">
        <v>13</v>
      </c>
      <c r="D164" s="59" t="str">
        <f>'Interface and charts'!$K$6</f>
        <v>Slow change</v>
      </c>
      <c r="E164" s="63" t="s">
        <v>7</v>
      </c>
      <c r="F164" s="171" t="str">
        <f>Calculation!G$56</f>
        <v>FY 2019-20</v>
      </c>
      <c r="G164" s="171" t="str">
        <f>Calculation!H$56</f>
        <v>FY 2020-21</v>
      </c>
      <c r="H164" s="171" t="str">
        <f>Calculation!I$56</f>
        <v>FY 2021-22</v>
      </c>
      <c r="I164" s="171" t="str">
        <f>Calculation!J$56</f>
        <v>FY 2022-23</v>
      </c>
      <c r="J164" s="171" t="str">
        <f>Calculation!K$56</f>
        <v>FY 2023-24</v>
      </c>
      <c r="K164" s="171" t="str">
        <f>Calculation!L$56</f>
        <v>FY 2024-25</v>
      </c>
      <c r="L164" s="171" t="str">
        <f>Calculation!M$56</f>
        <v>FY 2025-26</v>
      </c>
      <c r="M164" s="171" t="str">
        <f>Calculation!N$56</f>
        <v>FY 2026-27</v>
      </c>
      <c r="N164" s="171" t="str">
        <f>Calculation!O$56</f>
        <v>FY 2027-28</v>
      </c>
      <c r="O164" s="171" t="str">
        <f>Calculation!P$56</f>
        <v>FY 2028-29</v>
      </c>
      <c r="P164" s="171" t="str">
        <f>Calculation!Q$56</f>
        <v>FY 2029-30</v>
      </c>
      <c r="Q164" s="171" t="str">
        <f>Calculation!R$56</f>
        <v>FY 2030-31</v>
      </c>
      <c r="R164" s="171" t="str">
        <f>Calculation!S$56</f>
        <v>FY 2031-32</v>
      </c>
      <c r="S164" s="171" t="str">
        <f>Calculation!T$56</f>
        <v>FY 2032-33</v>
      </c>
      <c r="T164" s="171" t="str">
        <f>Calculation!U$56</f>
        <v>FY 2033-34</v>
      </c>
      <c r="U164" s="171" t="str">
        <f>Calculation!V$56</f>
        <v>FY 2034-35</v>
      </c>
      <c r="V164" s="171" t="str">
        <f>Calculation!W$56</f>
        <v>FY 2035-36</v>
      </c>
      <c r="W164" s="171" t="str">
        <f>Calculation!X$56</f>
        <v>FY 2036-37</v>
      </c>
      <c r="X164" s="171" t="str">
        <f>Calculation!Y$56</f>
        <v>FY 2037-38</v>
      </c>
      <c r="Y164" s="171" t="str">
        <f>Calculation!Z$56</f>
        <v>FY 2038-39</v>
      </c>
      <c r="Z164" s="171" t="str">
        <f>Calculation!AA$56</f>
        <v>FY 2039-40</v>
      </c>
      <c r="AA164" s="171" t="str">
        <f>Calculation!AB$56</f>
        <v>FY 2040-41</v>
      </c>
      <c r="AB164" s="171" t="str">
        <f>Calculation!AC$56</f>
        <v>FY 2041-42</v>
      </c>
      <c r="AC164" s="171" t="str">
        <f>Calculation!AD$56</f>
        <v>FY 2042-43</v>
      </c>
      <c r="AD164" s="171" t="str">
        <f>Calculation!AE$56</f>
        <v>FY 2043-44</v>
      </c>
      <c r="AE164" s="171" t="str">
        <f>Calculation!AF$56</f>
        <v>FY 2044-45</v>
      </c>
      <c r="AF164" s="171" t="str">
        <f>Calculation!AG$56</f>
        <v>FY 2045-46</v>
      </c>
      <c r="AG164" s="171" t="str">
        <f>Calculation!AH$56</f>
        <v>FY 2046-47</v>
      </c>
      <c r="AH164" s="171" t="str">
        <f>Calculation!AI$56</f>
        <v>FY 2047-48</v>
      </c>
      <c r="AI164" s="171" t="str">
        <f>Calculation!AJ$56</f>
        <v>FY 2048-49</v>
      </c>
    </row>
    <row r="165" spans="1:63" s="47" customFormat="1" x14ac:dyDescent="0.35">
      <c r="A165" s="87"/>
      <c r="B165" s="9">
        <v>0</v>
      </c>
      <c r="C165" s="123" t="str">
        <f>'Option inputs'!$C$14</f>
        <v>Base case</v>
      </c>
      <c r="D165" s="62"/>
      <c r="E165" s="68" t="s">
        <v>35</v>
      </c>
      <c r="F165" s="151"/>
      <c r="G165" s="151">
        <v>922</v>
      </c>
      <c r="H165" s="151">
        <v>208</v>
      </c>
      <c r="I165" s="151">
        <v>39</v>
      </c>
      <c r="J165" s="151">
        <v>195</v>
      </c>
      <c r="K165" s="151">
        <v>41</v>
      </c>
      <c r="L165" s="151">
        <v>72</v>
      </c>
      <c r="M165" s="151">
        <v>90</v>
      </c>
      <c r="N165" s="151">
        <v>38</v>
      </c>
      <c r="O165" s="151">
        <v>46</v>
      </c>
      <c r="P165" s="151">
        <v>60</v>
      </c>
      <c r="Q165" s="151">
        <v>111</v>
      </c>
      <c r="R165" s="151">
        <v>80</v>
      </c>
      <c r="S165" s="151">
        <v>133</v>
      </c>
      <c r="T165" s="151">
        <v>151</v>
      </c>
      <c r="U165" s="151">
        <v>201</v>
      </c>
      <c r="V165" s="151">
        <v>172706944</v>
      </c>
      <c r="W165" s="151">
        <v>231732636</v>
      </c>
      <c r="X165" s="151">
        <v>301382252</v>
      </c>
      <c r="Y165" s="151">
        <v>43219473</v>
      </c>
      <c r="Z165" s="151">
        <v>67621477</v>
      </c>
      <c r="AA165" s="151">
        <v>46866325</v>
      </c>
      <c r="AB165" s="151">
        <v>86115957</v>
      </c>
      <c r="AC165" s="151">
        <v>119966844</v>
      </c>
      <c r="AD165" s="151">
        <v>21737824</v>
      </c>
      <c r="AE165" s="151">
        <v>60629740</v>
      </c>
      <c r="AF165" s="151"/>
      <c r="AG165" s="151"/>
      <c r="AH165" s="151"/>
      <c r="AI165" s="151"/>
    </row>
    <row r="166" spans="1:63" s="47" customFormat="1" x14ac:dyDescent="0.35">
      <c r="A166" s="87"/>
      <c r="B166" s="9">
        <v>1</v>
      </c>
      <c r="C166" s="122" t="str">
        <f>'Option inputs'!$C$15</f>
        <v>Option 1A</v>
      </c>
      <c r="D166" s="62"/>
      <c r="E166" s="68" t="s">
        <v>35</v>
      </c>
      <c r="F166" s="151"/>
      <c r="G166" s="151">
        <v>1314</v>
      </c>
      <c r="H166" s="151">
        <v>265</v>
      </c>
      <c r="I166" s="151">
        <v>46</v>
      </c>
      <c r="J166" s="151">
        <v>231</v>
      </c>
      <c r="K166" s="151">
        <v>58</v>
      </c>
      <c r="L166" s="151">
        <v>87</v>
      </c>
      <c r="M166" s="151">
        <v>113</v>
      </c>
      <c r="N166" s="151">
        <v>56</v>
      </c>
      <c r="O166" s="151">
        <v>47</v>
      </c>
      <c r="P166" s="151">
        <v>86</v>
      </c>
      <c r="Q166" s="151">
        <v>132</v>
      </c>
      <c r="R166" s="151">
        <v>102</v>
      </c>
      <c r="S166" s="151">
        <v>179</v>
      </c>
      <c r="T166" s="151">
        <v>201</v>
      </c>
      <c r="U166" s="151">
        <v>234</v>
      </c>
      <c r="V166" s="151">
        <v>175377032</v>
      </c>
      <c r="W166" s="151">
        <v>243417820</v>
      </c>
      <c r="X166" s="151">
        <v>327116593</v>
      </c>
      <c r="Y166" s="151">
        <v>47428750</v>
      </c>
      <c r="Z166" s="151">
        <v>55223037</v>
      </c>
      <c r="AA166" s="151">
        <v>47231906</v>
      </c>
      <c r="AB166" s="151">
        <v>84214405</v>
      </c>
      <c r="AC166" s="151">
        <v>111752734</v>
      </c>
      <c r="AD166" s="151">
        <v>19195873</v>
      </c>
      <c r="AE166" s="151">
        <v>56947073</v>
      </c>
      <c r="AF166" s="151"/>
      <c r="AG166" s="151"/>
      <c r="AH166" s="151"/>
      <c r="AI166" s="151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102"/>
      <c r="BB166" s="102"/>
      <c r="BC166" s="102"/>
      <c r="BD166" s="102"/>
      <c r="BE166" s="102"/>
      <c r="BF166" s="102"/>
      <c r="BG166" s="102"/>
      <c r="BH166" s="102"/>
      <c r="BI166" s="102"/>
      <c r="BJ166" s="102"/>
      <c r="BK166" s="102"/>
    </row>
    <row r="167" spans="1:63" s="47" customFormat="1" x14ac:dyDescent="0.35">
      <c r="A167" s="87"/>
      <c r="B167" s="9">
        <v>2</v>
      </c>
      <c r="C167" s="122" t="str">
        <f>'Option inputs'!$C$16</f>
        <v>Option 1B</v>
      </c>
      <c r="D167" s="62"/>
      <c r="E167" s="68" t="s">
        <v>35</v>
      </c>
      <c r="F167" s="151"/>
      <c r="G167" s="151">
        <v>1203</v>
      </c>
      <c r="H167" s="151">
        <v>265</v>
      </c>
      <c r="I167" s="151">
        <v>51</v>
      </c>
      <c r="J167" s="151">
        <v>248</v>
      </c>
      <c r="K167" s="151">
        <v>67</v>
      </c>
      <c r="L167" s="151">
        <v>84</v>
      </c>
      <c r="M167" s="151">
        <v>113</v>
      </c>
      <c r="N167" s="151">
        <v>60</v>
      </c>
      <c r="O167" s="151">
        <v>65</v>
      </c>
      <c r="P167" s="151">
        <v>80</v>
      </c>
      <c r="Q167" s="151">
        <v>141</v>
      </c>
      <c r="R167" s="151">
        <v>123</v>
      </c>
      <c r="S167" s="151">
        <v>171</v>
      </c>
      <c r="T167" s="151">
        <v>211</v>
      </c>
      <c r="U167" s="151">
        <v>253</v>
      </c>
      <c r="V167" s="151">
        <v>171390209</v>
      </c>
      <c r="W167" s="151">
        <v>235121635</v>
      </c>
      <c r="X167" s="151">
        <v>328278857</v>
      </c>
      <c r="Y167" s="151">
        <v>49761789</v>
      </c>
      <c r="Z167" s="151">
        <v>43250074</v>
      </c>
      <c r="AA167" s="151">
        <v>60479238</v>
      </c>
      <c r="AB167" s="151">
        <v>101148246</v>
      </c>
      <c r="AC167" s="151">
        <v>113313496</v>
      </c>
      <c r="AD167" s="151">
        <v>15688111</v>
      </c>
      <c r="AE167" s="151">
        <v>57658893</v>
      </c>
      <c r="AF167" s="151"/>
      <c r="AG167" s="151"/>
      <c r="AH167" s="151"/>
      <c r="AI167" s="151"/>
      <c r="AM167" s="102"/>
      <c r="AN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  <c r="AX167" s="102"/>
      <c r="AY167" s="102"/>
      <c r="AZ167" s="102"/>
      <c r="BA167" s="102"/>
      <c r="BB167" s="102"/>
      <c r="BC167" s="102"/>
      <c r="BD167" s="102"/>
      <c r="BE167" s="102"/>
      <c r="BF167" s="102"/>
      <c r="BG167" s="102"/>
      <c r="BH167" s="102"/>
      <c r="BI167" s="102"/>
      <c r="BJ167" s="102"/>
      <c r="BK167" s="102"/>
    </row>
    <row r="168" spans="1:63" s="47" customFormat="1" x14ac:dyDescent="0.35">
      <c r="A168" s="87"/>
      <c r="B168" s="9">
        <v>3</v>
      </c>
      <c r="C168" s="122" t="str">
        <f>'Option inputs'!$C$17</f>
        <v>Option 1C</v>
      </c>
      <c r="D168" s="62"/>
      <c r="E168" s="68" t="s">
        <v>35</v>
      </c>
      <c r="F168" s="151"/>
      <c r="G168" s="151">
        <v>577</v>
      </c>
      <c r="H168" s="151">
        <v>82</v>
      </c>
      <c r="I168" s="151">
        <v>27</v>
      </c>
      <c r="J168" s="151">
        <v>105</v>
      </c>
      <c r="K168" s="151">
        <v>29</v>
      </c>
      <c r="L168" s="151">
        <v>38</v>
      </c>
      <c r="M168" s="151">
        <v>58</v>
      </c>
      <c r="N168" s="151">
        <v>26</v>
      </c>
      <c r="O168" s="151">
        <v>18</v>
      </c>
      <c r="P168" s="151">
        <v>26</v>
      </c>
      <c r="Q168" s="151">
        <v>55</v>
      </c>
      <c r="R168" s="151">
        <v>52</v>
      </c>
      <c r="S168" s="151">
        <v>65</v>
      </c>
      <c r="T168" s="151">
        <v>82</v>
      </c>
      <c r="U168" s="151">
        <v>93</v>
      </c>
      <c r="V168" s="151">
        <v>171413127</v>
      </c>
      <c r="W168" s="151">
        <v>235116159</v>
      </c>
      <c r="X168" s="151">
        <v>328285755</v>
      </c>
      <c r="Y168" s="151">
        <v>49773125</v>
      </c>
      <c r="Z168" s="151">
        <v>43245929</v>
      </c>
      <c r="AA168" s="151">
        <v>60470675</v>
      </c>
      <c r="AB168" s="151">
        <v>101142169</v>
      </c>
      <c r="AC168" s="151">
        <v>113312638</v>
      </c>
      <c r="AD168" s="151">
        <v>15681471</v>
      </c>
      <c r="AE168" s="151">
        <v>57653711</v>
      </c>
      <c r="AF168" s="151"/>
      <c r="AG168" s="151"/>
      <c r="AH168" s="151"/>
      <c r="AI168" s="151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102"/>
      <c r="BB168" s="102"/>
      <c r="BC168" s="102"/>
      <c r="BD168" s="102"/>
      <c r="BE168" s="102"/>
      <c r="BF168" s="102"/>
      <c r="BG168" s="102"/>
      <c r="BH168" s="102"/>
      <c r="BI168" s="102"/>
      <c r="BJ168" s="102"/>
      <c r="BK168" s="102"/>
    </row>
    <row r="169" spans="1:63" s="47" customFormat="1" x14ac:dyDescent="0.35">
      <c r="A169" s="87"/>
      <c r="B169" s="9">
        <v>4</v>
      </c>
      <c r="C169" s="122" t="str">
        <f>'Option inputs'!$C$18</f>
        <v>Option 2A</v>
      </c>
      <c r="D169" s="62"/>
      <c r="E169" s="68" t="s">
        <v>35</v>
      </c>
      <c r="F169" s="151"/>
      <c r="G169" s="151">
        <v>790</v>
      </c>
      <c r="H169" s="151">
        <v>173</v>
      </c>
      <c r="I169" s="151">
        <v>30</v>
      </c>
      <c r="J169" s="151">
        <v>175</v>
      </c>
      <c r="K169" s="151">
        <v>39</v>
      </c>
      <c r="L169" s="151">
        <v>62</v>
      </c>
      <c r="M169" s="151">
        <v>79</v>
      </c>
      <c r="N169" s="151">
        <v>34</v>
      </c>
      <c r="O169" s="151">
        <v>39</v>
      </c>
      <c r="P169" s="151">
        <v>51</v>
      </c>
      <c r="Q169" s="151">
        <v>104</v>
      </c>
      <c r="R169" s="151">
        <v>77</v>
      </c>
      <c r="S169" s="151">
        <v>119</v>
      </c>
      <c r="T169" s="151">
        <v>148</v>
      </c>
      <c r="U169" s="151">
        <v>187</v>
      </c>
      <c r="V169" s="151">
        <v>152550953</v>
      </c>
      <c r="W169" s="151">
        <v>249037401</v>
      </c>
      <c r="X169" s="151">
        <v>273528710</v>
      </c>
      <c r="Y169" s="151">
        <v>40175552</v>
      </c>
      <c r="Z169" s="151">
        <v>72848585</v>
      </c>
      <c r="AA169" s="151">
        <v>52553093</v>
      </c>
      <c r="AB169" s="151">
        <v>103601201</v>
      </c>
      <c r="AC169" s="151">
        <v>128504750</v>
      </c>
      <c r="AD169" s="151">
        <v>14494881</v>
      </c>
      <c r="AE169" s="151">
        <v>59361591</v>
      </c>
      <c r="AF169" s="151"/>
      <c r="AG169" s="151"/>
      <c r="AH169" s="151"/>
      <c r="AI169" s="151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102"/>
      <c r="BB169" s="102"/>
      <c r="BC169" s="102"/>
      <c r="BD169" s="102"/>
      <c r="BE169" s="102"/>
      <c r="BF169" s="102"/>
      <c r="BG169" s="102"/>
      <c r="BH169" s="102"/>
      <c r="BI169" s="102"/>
      <c r="BJ169" s="102"/>
      <c r="BK169" s="102"/>
    </row>
    <row r="170" spans="1:63" s="47" customFormat="1" x14ac:dyDescent="0.35">
      <c r="A170" s="87"/>
      <c r="B170" s="9">
        <v>5</v>
      </c>
      <c r="C170" s="122" t="str">
        <f>'Option inputs'!$C$19</f>
        <v>Option 2B</v>
      </c>
      <c r="D170" s="62"/>
      <c r="E170" s="68" t="s">
        <v>35</v>
      </c>
      <c r="F170" s="151"/>
      <c r="G170" s="151">
        <v>1038</v>
      </c>
      <c r="H170" s="151">
        <v>212</v>
      </c>
      <c r="I170" s="151">
        <v>64</v>
      </c>
      <c r="J170" s="151">
        <v>203</v>
      </c>
      <c r="K170" s="151">
        <v>51</v>
      </c>
      <c r="L170" s="151">
        <v>75</v>
      </c>
      <c r="M170" s="151">
        <v>95</v>
      </c>
      <c r="N170" s="151">
        <v>49</v>
      </c>
      <c r="O170" s="151">
        <v>57</v>
      </c>
      <c r="P170" s="151">
        <v>64</v>
      </c>
      <c r="Q170" s="151">
        <v>137</v>
      </c>
      <c r="R170" s="151">
        <v>99</v>
      </c>
      <c r="S170" s="151">
        <v>163</v>
      </c>
      <c r="T170" s="151">
        <v>214</v>
      </c>
      <c r="U170" s="151">
        <v>258</v>
      </c>
      <c r="V170" s="151">
        <v>162103514</v>
      </c>
      <c r="W170" s="151">
        <v>229784121</v>
      </c>
      <c r="X170" s="151">
        <v>304595168</v>
      </c>
      <c r="Y170" s="151">
        <v>50116422</v>
      </c>
      <c r="Z170" s="151">
        <v>43798923</v>
      </c>
      <c r="AA170" s="151">
        <v>48969571</v>
      </c>
      <c r="AB170" s="151">
        <v>129281327</v>
      </c>
      <c r="AC170" s="151">
        <v>114947480</v>
      </c>
      <c r="AD170" s="151">
        <v>16984749</v>
      </c>
      <c r="AE170" s="151">
        <v>58866288</v>
      </c>
      <c r="AF170" s="151"/>
      <c r="AG170" s="151"/>
      <c r="AH170" s="151"/>
      <c r="AI170" s="151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102"/>
      <c r="BB170" s="102"/>
      <c r="BC170" s="102"/>
      <c r="BD170" s="102"/>
      <c r="BE170" s="102"/>
      <c r="BF170" s="102"/>
      <c r="BG170" s="102"/>
      <c r="BH170" s="102"/>
      <c r="BI170" s="102"/>
      <c r="BJ170" s="102"/>
      <c r="BK170" s="102"/>
    </row>
    <row r="171" spans="1:63" s="47" customFormat="1" x14ac:dyDescent="0.35">
      <c r="A171" s="87"/>
      <c r="B171" s="9">
        <v>6</v>
      </c>
      <c r="C171" s="122" t="str">
        <f>'Option inputs'!$C$20</f>
        <v>Option 2C</v>
      </c>
      <c r="D171" s="62"/>
      <c r="E171" s="68" t="s">
        <v>35</v>
      </c>
      <c r="F171" s="151"/>
      <c r="G171" s="151">
        <v>1770</v>
      </c>
      <c r="H171" s="151">
        <v>322</v>
      </c>
      <c r="I171" s="151">
        <v>62</v>
      </c>
      <c r="J171" s="151">
        <v>330</v>
      </c>
      <c r="K171" s="151">
        <v>97</v>
      </c>
      <c r="L171" s="151">
        <v>106</v>
      </c>
      <c r="M171" s="151">
        <v>127</v>
      </c>
      <c r="N171" s="151">
        <v>74</v>
      </c>
      <c r="O171" s="151">
        <v>76</v>
      </c>
      <c r="P171" s="151">
        <v>99</v>
      </c>
      <c r="Q171" s="151">
        <v>157</v>
      </c>
      <c r="R171" s="151">
        <v>147</v>
      </c>
      <c r="S171" s="151">
        <v>239</v>
      </c>
      <c r="T171" s="151">
        <v>255</v>
      </c>
      <c r="U171" s="151">
        <v>308</v>
      </c>
      <c r="V171" s="151">
        <v>162117019</v>
      </c>
      <c r="W171" s="151">
        <v>229792255</v>
      </c>
      <c r="X171" s="151">
        <v>304604978</v>
      </c>
      <c r="Y171" s="151">
        <v>50112552</v>
      </c>
      <c r="Z171" s="151">
        <v>43797750</v>
      </c>
      <c r="AA171" s="151">
        <v>48973889</v>
      </c>
      <c r="AB171" s="151">
        <v>129278202</v>
      </c>
      <c r="AC171" s="151">
        <v>114949986</v>
      </c>
      <c r="AD171" s="151">
        <v>16976833</v>
      </c>
      <c r="AE171" s="151">
        <v>58865561</v>
      </c>
      <c r="AF171" s="151"/>
      <c r="AG171" s="151"/>
      <c r="AH171" s="151"/>
      <c r="AI171" s="151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02"/>
      <c r="BD171" s="102"/>
      <c r="BE171" s="102"/>
      <c r="BF171" s="102"/>
      <c r="BG171" s="102"/>
      <c r="BH171" s="102"/>
      <c r="BI171" s="102"/>
      <c r="BJ171" s="102"/>
      <c r="BK171" s="102"/>
    </row>
    <row r="172" spans="1:63" s="47" customFormat="1" x14ac:dyDescent="0.35">
      <c r="A172" s="87"/>
      <c r="B172" s="9">
        <v>7</v>
      </c>
      <c r="C172" s="122" t="str">
        <f>'Option inputs'!$C$21</f>
        <v>Option 3A</v>
      </c>
      <c r="D172" s="62"/>
      <c r="E172" s="68" t="s">
        <v>35</v>
      </c>
      <c r="F172" s="130"/>
      <c r="G172" s="130">
        <v>951</v>
      </c>
      <c r="H172" s="151">
        <v>206</v>
      </c>
      <c r="I172" s="151">
        <v>34</v>
      </c>
      <c r="J172" s="151">
        <v>211</v>
      </c>
      <c r="K172" s="151">
        <v>40</v>
      </c>
      <c r="L172" s="151">
        <v>76</v>
      </c>
      <c r="M172" s="151">
        <v>80</v>
      </c>
      <c r="N172" s="151">
        <v>42</v>
      </c>
      <c r="O172" s="151">
        <v>56</v>
      </c>
      <c r="P172" s="151">
        <v>56</v>
      </c>
      <c r="Q172" s="151">
        <v>111</v>
      </c>
      <c r="R172" s="151">
        <v>96</v>
      </c>
      <c r="S172" s="151">
        <v>132</v>
      </c>
      <c r="T172" s="151">
        <v>156</v>
      </c>
      <c r="U172" s="151">
        <v>200</v>
      </c>
      <c r="V172" s="151">
        <v>177813623</v>
      </c>
      <c r="W172" s="151">
        <v>245000728</v>
      </c>
      <c r="X172" s="151">
        <v>286182562</v>
      </c>
      <c r="Y172" s="151">
        <v>46131375</v>
      </c>
      <c r="Z172" s="151">
        <v>56510627</v>
      </c>
      <c r="AA172" s="151">
        <v>51980400</v>
      </c>
      <c r="AB172" s="151">
        <v>96688160</v>
      </c>
      <c r="AC172" s="151">
        <v>121557481</v>
      </c>
      <c r="AD172" s="151">
        <v>17247828</v>
      </c>
      <c r="AE172" s="151">
        <v>57371436</v>
      </c>
      <c r="AF172" s="151"/>
      <c r="AG172" s="151"/>
      <c r="AH172" s="151"/>
      <c r="AI172" s="151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102"/>
      <c r="BB172" s="102"/>
      <c r="BC172" s="102"/>
      <c r="BD172" s="102"/>
      <c r="BE172" s="102"/>
      <c r="BF172" s="102"/>
      <c r="BG172" s="102"/>
      <c r="BH172" s="102"/>
      <c r="BI172" s="102"/>
      <c r="BJ172" s="102"/>
      <c r="BK172" s="102"/>
    </row>
    <row r="173" spans="1:63" s="47" customFormat="1" ht="20.149999999999999" customHeight="1" x14ac:dyDescent="0.35">
      <c r="A173" s="87"/>
      <c r="B173" s="64">
        <f>+'Option inputs'!$B$22</f>
        <v>8</v>
      </c>
      <c r="C173" s="122" t="str">
        <f>'Option inputs'!$C$22</f>
        <v>Option 3B</v>
      </c>
      <c r="D173" s="62"/>
      <c r="E173" s="68" t="s">
        <v>35</v>
      </c>
      <c r="F173" s="130"/>
      <c r="G173" s="130">
        <v>1429</v>
      </c>
      <c r="H173" s="151">
        <v>309</v>
      </c>
      <c r="I173" s="151">
        <v>61</v>
      </c>
      <c r="J173" s="151">
        <v>275</v>
      </c>
      <c r="K173" s="151">
        <v>71</v>
      </c>
      <c r="L173" s="151">
        <v>97</v>
      </c>
      <c r="M173" s="151">
        <v>139</v>
      </c>
      <c r="N173" s="151">
        <v>60</v>
      </c>
      <c r="O173" s="151">
        <v>74</v>
      </c>
      <c r="P173" s="151">
        <v>65</v>
      </c>
      <c r="Q173" s="151">
        <v>147</v>
      </c>
      <c r="R173" s="151">
        <v>129</v>
      </c>
      <c r="S173" s="151">
        <v>158</v>
      </c>
      <c r="T173" s="151">
        <v>205</v>
      </c>
      <c r="U173" s="151">
        <v>260</v>
      </c>
      <c r="V173" s="151">
        <v>164894733</v>
      </c>
      <c r="W173" s="151">
        <v>226192112</v>
      </c>
      <c r="X173" s="151">
        <v>305865168</v>
      </c>
      <c r="Y173" s="151">
        <v>49985938</v>
      </c>
      <c r="Z173" s="151">
        <v>43072458</v>
      </c>
      <c r="AA173" s="151">
        <v>48926223</v>
      </c>
      <c r="AB173" s="151">
        <v>129293026</v>
      </c>
      <c r="AC173" s="151">
        <v>115472810</v>
      </c>
      <c r="AD173" s="151">
        <v>16867659</v>
      </c>
      <c r="AE173" s="151">
        <v>58743384</v>
      </c>
      <c r="AF173" s="151"/>
      <c r="AG173" s="151"/>
      <c r="AH173" s="151"/>
      <c r="AI173" s="151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102"/>
      <c r="BB173" s="102"/>
      <c r="BC173" s="102"/>
      <c r="BD173" s="102"/>
      <c r="BE173" s="102"/>
      <c r="BF173" s="102"/>
      <c r="BG173" s="102"/>
      <c r="BH173" s="102"/>
      <c r="BI173" s="102"/>
      <c r="BJ173" s="102"/>
      <c r="BK173" s="102"/>
    </row>
    <row r="174" spans="1:63" s="47" customFormat="1" x14ac:dyDescent="0.35">
      <c r="A174" s="87"/>
      <c r="B174" s="64">
        <f>+'Option inputs'!$B$23</f>
        <v>9</v>
      </c>
      <c r="C174" s="122" t="str">
        <f>'Option inputs'!$C$23</f>
        <v>Option 3C</v>
      </c>
      <c r="D174" s="62"/>
      <c r="E174" s="68" t="s">
        <v>35</v>
      </c>
      <c r="F174" s="130"/>
      <c r="G174" s="130">
        <v>1294</v>
      </c>
      <c r="H174" s="151">
        <v>310</v>
      </c>
      <c r="I174" s="151">
        <v>83</v>
      </c>
      <c r="J174" s="151">
        <v>289</v>
      </c>
      <c r="K174" s="151">
        <v>69</v>
      </c>
      <c r="L174" s="151">
        <v>91</v>
      </c>
      <c r="M174" s="151">
        <v>111</v>
      </c>
      <c r="N174" s="151">
        <v>62</v>
      </c>
      <c r="O174" s="151">
        <v>65</v>
      </c>
      <c r="P174" s="151">
        <v>85</v>
      </c>
      <c r="Q174" s="151">
        <v>169</v>
      </c>
      <c r="R174" s="151">
        <v>122</v>
      </c>
      <c r="S174" s="151">
        <v>175</v>
      </c>
      <c r="T174" s="151">
        <v>234</v>
      </c>
      <c r="U174" s="151">
        <v>272</v>
      </c>
      <c r="V174" s="151">
        <v>165192213</v>
      </c>
      <c r="W174" s="151">
        <v>225911764</v>
      </c>
      <c r="X174" s="151">
        <v>305898279</v>
      </c>
      <c r="Y174" s="151">
        <v>49975373</v>
      </c>
      <c r="Z174" s="151">
        <v>43073756</v>
      </c>
      <c r="AA174" s="151">
        <v>48917195</v>
      </c>
      <c r="AB174" s="151">
        <v>129287866</v>
      </c>
      <c r="AC174" s="151">
        <v>115475247</v>
      </c>
      <c r="AD174" s="151">
        <v>16869051</v>
      </c>
      <c r="AE174" s="151">
        <v>58744008</v>
      </c>
      <c r="AF174" s="151"/>
      <c r="AG174" s="151"/>
      <c r="AH174" s="151"/>
      <c r="AI174" s="151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102"/>
      <c r="BB174" s="102"/>
      <c r="BC174" s="102"/>
      <c r="BD174" s="102"/>
      <c r="BE174" s="102"/>
      <c r="BF174" s="102"/>
      <c r="BG174" s="102"/>
      <c r="BH174" s="102"/>
      <c r="BI174" s="102"/>
      <c r="BJ174" s="102"/>
      <c r="BK174" s="102"/>
    </row>
    <row r="175" spans="1:63" s="47" customFormat="1" x14ac:dyDescent="0.35">
      <c r="A175" s="87"/>
      <c r="B175" s="64">
        <f>+'Option inputs'!$B$24</f>
        <v>10</v>
      </c>
      <c r="C175" s="122" t="str">
        <f>'Option inputs'!$C$24</f>
        <v>Option 4A</v>
      </c>
      <c r="D175" s="62"/>
      <c r="E175" s="68" t="s">
        <v>35</v>
      </c>
      <c r="F175" s="130"/>
      <c r="G175" s="130">
        <v>983</v>
      </c>
      <c r="H175" s="151">
        <v>202</v>
      </c>
      <c r="I175" s="151">
        <v>71</v>
      </c>
      <c r="J175" s="151">
        <v>214</v>
      </c>
      <c r="K175" s="151">
        <v>52</v>
      </c>
      <c r="L175" s="151">
        <v>70</v>
      </c>
      <c r="M175" s="151">
        <v>111</v>
      </c>
      <c r="N175" s="151">
        <v>39</v>
      </c>
      <c r="O175" s="151">
        <v>53</v>
      </c>
      <c r="P175" s="151">
        <v>45</v>
      </c>
      <c r="Q175" s="151">
        <v>135</v>
      </c>
      <c r="R175" s="151">
        <v>93</v>
      </c>
      <c r="S175" s="151">
        <v>127</v>
      </c>
      <c r="T175" s="151">
        <v>174</v>
      </c>
      <c r="U175" s="151">
        <v>217</v>
      </c>
      <c r="V175" s="151">
        <v>168827200</v>
      </c>
      <c r="W175" s="151">
        <v>248218286</v>
      </c>
      <c r="X175" s="151">
        <v>288995840</v>
      </c>
      <c r="Y175" s="151">
        <v>47391233</v>
      </c>
      <c r="Z175" s="151">
        <v>52280063</v>
      </c>
      <c r="AA175" s="151">
        <v>52746624</v>
      </c>
      <c r="AB175" s="151">
        <v>98160282</v>
      </c>
      <c r="AC175" s="151">
        <v>127186495</v>
      </c>
      <c r="AD175" s="151">
        <v>17046082</v>
      </c>
      <c r="AE175" s="151">
        <v>57201729</v>
      </c>
      <c r="AF175" s="151"/>
      <c r="AG175" s="151"/>
      <c r="AH175" s="151"/>
      <c r="AI175" s="151"/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  <c r="AX175" s="102"/>
      <c r="AY175" s="102"/>
      <c r="AZ175" s="102"/>
      <c r="BA175" s="102"/>
      <c r="BB175" s="102"/>
      <c r="BC175" s="102"/>
      <c r="BD175" s="102"/>
      <c r="BE175" s="102"/>
      <c r="BF175" s="102"/>
      <c r="BG175" s="102"/>
      <c r="BH175" s="102"/>
      <c r="BI175" s="102"/>
      <c r="BJ175" s="102"/>
      <c r="BK175" s="102"/>
    </row>
    <row r="176" spans="1:63" s="47" customFormat="1" x14ac:dyDescent="0.35">
      <c r="A176" s="87"/>
      <c r="B176" s="64">
        <f>+'Option inputs'!$B$25</f>
        <v>11</v>
      </c>
      <c r="C176" s="122" t="str">
        <f>'Option inputs'!$C$25</f>
        <v>Option 4B</v>
      </c>
      <c r="D176" s="62"/>
      <c r="E176" s="68" t="s">
        <v>35</v>
      </c>
      <c r="F176" s="130"/>
      <c r="G176" s="130">
        <v>729</v>
      </c>
      <c r="H176" s="151">
        <v>153</v>
      </c>
      <c r="I176" s="151">
        <v>53</v>
      </c>
      <c r="J176" s="151">
        <v>186</v>
      </c>
      <c r="K176" s="151">
        <v>33</v>
      </c>
      <c r="L176" s="151">
        <v>67</v>
      </c>
      <c r="M176" s="151">
        <v>85</v>
      </c>
      <c r="N176" s="151">
        <v>34</v>
      </c>
      <c r="O176" s="151">
        <v>33</v>
      </c>
      <c r="P176" s="151">
        <v>56</v>
      </c>
      <c r="Q176" s="151">
        <v>104</v>
      </c>
      <c r="R176" s="151">
        <v>87</v>
      </c>
      <c r="S176" s="151">
        <v>125</v>
      </c>
      <c r="T176" s="151">
        <v>155</v>
      </c>
      <c r="U176" s="151">
        <v>197</v>
      </c>
      <c r="V176" s="151">
        <v>144031066</v>
      </c>
      <c r="W176" s="151">
        <v>234178005</v>
      </c>
      <c r="X176" s="151">
        <v>300712147</v>
      </c>
      <c r="Y176" s="151">
        <v>42041471</v>
      </c>
      <c r="Z176" s="151">
        <v>59111970</v>
      </c>
      <c r="AA176" s="151">
        <v>48830930</v>
      </c>
      <c r="AB176" s="151">
        <v>128915600</v>
      </c>
      <c r="AC176" s="151">
        <v>116723906</v>
      </c>
      <c r="AD176" s="151">
        <v>16407845</v>
      </c>
      <c r="AE176" s="151">
        <v>61087037</v>
      </c>
      <c r="AF176" s="151"/>
      <c r="AG176" s="151"/>
      <c r="AH176" s="151"/>
      <c r="AI176" s="151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02"/>
      <c r="BD176" s="102"/>
      <c r="BE176" s="102"/>
      <c r="BF176" s="102"/>
      <c r="BG176" s="102"/>
      <c r="BH176" s="102"/>
      <c r="BI176" s="102"/>
      <c r="BJ176" s="102"/>
      <c r="BK176" s="102"/>
    </row>
    <row r="177" spans="1:63" s="47" customFormat="1" x14ac:dyDescent="0.35">
      <c r="A177" s="87"/>
      <c r="B177" s="64">
        <f>+'Option inputs'!$B$26</f>
        <v>12</v>
      </c>
      <c r="C177" s="122" t="str">
        <f>'Option inputs'!$C$26</f>
        <v>Option 4C</v>
      </c>
      <c r="D177" s="62"/>
      <c r="E177" s="68" t="s">
        <v>35</v>
      </c>
      <c r="F177" s="130"/>
      <c r="G177" s="130">
        <v>1578</v>
      </c>
      <c r="H177" s="151">
        <v>333</v>
      </c>
      <c r="I177" s="151">
        <v>100</v>
      </c>
      <c r="J177" s="151">
        <v>328</v>
      </c>
      <c r="K177" s="151">
        <v>116</v>
      </c>
      <c r="L177" s="151">
        <v>98</v>
      </c>
      <c r="M177" s="151">
        <v>113</v>
      </c>
      <c r="N177" s="151">
        <v>87</v>
      </c>
      <c r="O177" s="151">
        <v>89</v>
      </c>
      <c r="P177" s="151">
        <v>94</v>
      </c>
      <c r="Q177" s="151">
        <v>174</v>
      </c>
      <c r="R177" s="151">
        <v>155</v>
      </c>
      <c r="S177" s="151">
        <v>193</v>
      </c>
      <c r="T177" s="151">
        <v>256</v>
      </c>
      <c r="U177" s="151">
        <v>325</v>
      </c>
      <c r="V177" s="151">
        <v>144158390</v>
      </c>
      <c r="W177" s="151">
        <v>234080378</v>
      </c>
      <c r="X177" s="151">
        <v>300712303</v>
      </c>
      <c r="Y177" s="151">
        <v>42042226</v>
      </c>
      <c r="Z177" s="151">
        <v>59100103</v>
      </c>
      <c r="AA177" s="151">
        <v>48835894</v>
      </c>
      <c r="AB177" s="151">
        <v>128918144</v>
      </c>
      <c r="AC177" s="151">
        <v>116717604</v>
      </c>
      <c r="AD177" s="151">
        <v>16408599</v>
      </c>
      <c r="AE177" s="151">
        <v>61086090</v>
      </c>
      <c r="AF177" s="151"/>
      <c r="AG177" s="151"/>
      <c r="AH177" s="151"/>
      <c r="AI177" s="151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  <c r="BE177" s="102"/>
      <c r="BF177" s="102"/>
      <c r="BG177" s="102"/>
      <c r="BH177" s="102"/>
      <c r="BI177" s="102"/>
      <c r="BJ177" s="102"/>
      <c r="BK177" s="102"/>
    </row>
    <row r="178" spans="1:63" s="47" customFormat="1" x14ac:dyDescent="0.35">
      <c r="A178" s="87"/>
      <c r="B178" s="65"/>
      <c r="C178" s="76"/>
      <c r="D178" s="46"/>
      <c r="E178" s="77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</row>
    <row r="179" spans="1:63" s="47" customFormat="1" x14ac:dyDescent="0.35">
      <c r="A179" s="87"/>
      <c r="B179" s="59" t="s">
        <v>14</v>
      </c>
      <c r="C179" s="59" t="s">
        <v>13</v>
      </c>
      <c r="D179" s="59" t="str">
        <f>'Interface and charts'!$L$6</f>
        <v>Fast change</v>
      </c>
      <c r="E179" s="63" t="s">
        <v>7</v>
      </c>
      <c r="F179" s="171" t="str">
        <f>Calculation!G$56</f>
        <v>FY 2019-20</v>
      </c>
      <c r="G179" s="171" t="str">
        <f>Calculation!H$56</f>
        <v>FY 2020-21</v>
      </c>
      <c r="H179" s="171" t="str">
        <f>Calculation!I$56</f>
        <v>FY 2021-22</v>
      </c>
      <c r="I179" s="171" t="str">
        <f>Calculation!J$56</f>
        <v>FY 2022-23</v>
      </c>
      <c r="J179" s="171" t="str">
        <f>Calculation!K$56</f>
        <v>FY 2023-24</v>
      </c>
      <c r="K179" s="171" t="str">
        <f>Calculation!L$56</f>
        <v>FY 2024-25</v>
      </c>
      <c r="L179" s="171" t="str">
        <f>Calculation!M$56</f>
        <v>FY 2025-26</v>
      </c>
      <c r="M179" s="171" t="str">
        <f>Calculation!N$56</f>
        <v>FY 2026-27</v>
      </c>
      <c r="N179" s="171" t="str">
        <f>Calculation!O$56</f>
        <v>FY 2027-28</v>
      </c>
      <c r="O179" s="171" t="str">
        <f>Calculation!P$56</f>
        <v>FY 2028-29</v>
      </c>
      <c r="P179" s="171" t="str">
        <f>Calculation!Q$56</f>
        <v>FY 2029-30</v>
      </c>
      <c r="Q179" s="171" t="str">
        <f>Calculation!R$56</f>
        <v>FY 2030-31</v>
      </c>
      <c r="R179" s="171" t="str">
        <f>Calculation!S$56</f>
        <v>FY 2031-32</v>
      </c>
      <c r="S179" s="171" t="str">
        <f>Calculation!T$56</f>
        <v>FY 2032-33</v>
      </c>
      <c r="T179" s="171" t="str">
        <f>Calculation!U$56</f>
        <v>FY 2033-34</v>
      </c>
      <c r="U179" s="171" t="str">
        <f>Calculation!V$56</f>
        <v>FY 2034-35</v>
      </c>
      <c r="V179" s="171" t="str">
        <f>Calculation!W$56</f>
        <v>FY 2035-36</v>
      </c>
      <c r="W179" s="171" t="str">
        <f>Calculation!X$56</f>
        <v>FY 2036-37</v>
      </c>
      <c r="X179" s="171" t="str">
        <f>Calculation!Y$56</f>
        <v>FY 2037-38</v>
      </c>
      <c r="Y179" s="171" t="str">
        <f>Calculation!Z$56</f>
        <v>FY 2038-39</v>
      </c>
      <c r="Z179" s="171" t="str">
        <f>Calculation!AA$56</f>
        <v>FY 2039-40</v>
      </c>
      <c r="AA179" s="171" t="str">
        <f>Calculation!AB$56</f>
        <v>FY 2040-41</v>
      </c>
      <c r="AB179" s="171" t="str">
        <f>Calculation!AC$56</f>
        <v>FY 2041-42</v>
      </c>
      <c r="AC179" s="171" t="str">
        <f>Calculation!AD$56</f>
        <v>FY 2042-43</v>
      </c>
      <c r="AD179" s="171" t="str">
        <f>Calculation!AE$56</f>
        <v>FY 2043-44</v>
      </c>
      <c r="AE179" s="171" t="str">
        <f>Calculation!AF$56</f>
        <v>FY 2044-45</v>
      </c>
      <c r="AF179" s="171" t="str">
        <f>Calculation!AG$56</f>
        <v>FY 2045-46</v>
      </c>
      <c r="AG179" s="171" t="str">
        <f>Calculation!AH$56</f>
        <v>FY 2046-47</v>
      </c>
      <c r="AH179" s="171" t="str">
        <f>Calculation!AI$56</f>
        <v>FY 2047-48</v>
      </c>
      <c r="AI179" s="171" t="str">
        <f>Calculation!AJ$56</f>
        <v>FY 2048-49</v>
      </c>
    </row>
    <row r="180" spans="1:63" s="47" customFormat="1" x14ac:dyDescent="0.35">
      <c r="A180" s="87"/>
      <c r="B180" s="9">
        <v>0</v>
      </c>
      <c r="C180" s="123" t="str">
        <f>'Option inputs'!$C$14</f>
        <v>Base case</v>
      </c>
      <c r="D180" s="62"/>
      <c r="E180" s="68" t="s">
        <v>35</v>
      </c>
      <c r="F180" s="151"/>
      <c r="G180" s="151">
        <v>2558</v>
      </c>
      <c r="H180" s="151">
        <v>199</v>
      </c>
      <c r="I180" s="151">
        <v>21</v>
      </c>
      <c r="J180" s="151">
        <v>1041</v>
      </c>
      <c r="K180" s="151">
        <v>113302685</v>
      </c>
      <c r="L180" s="151">
        <v>1558</v>
      </c>
      <c r="M180" s="151">
        <v>93420285</v>
      </c>
      <c r="N180" s="151">
        <v>57259533</v>
      </c>
      <c r="O180" s="151">
        <v>454561521</v>
      </c>
      <c r="P180" s="151">
        <v>161372420</v>
      </c>
      <c r="Q180" s="151">
        <v>302188900</v>
      </c>
      <c r="R180" s="151">
        <v>16</v>
      </c>
      <c r="S180" s="151">
        <v>412262652</v>
      </c>
      <c r="T180" s="151">
        <v>161330300</v>
      </c>
      <c r="U180" s="151">
        <v>10589547</v>
      </c>
      <c r="V180" s="151">
        <v>214</v>
      </c>
      <c r="W180" s="151">
        <v>56555732</v>
      </c>
      <c r="X180" s="151">
        <v>1480869175</v>
      </c>
      <c r="Y180" s="151">
        <v>159486454</v>
      </c>
      <c r="Z180" s="151">
        <v>72799381</v>
      </c>
      <c r="AA180" s="151">
        <v>20551842</v>
      </c>
      <c r="AB180" s="151">
        <v>246642337</v>
      </c>
      <c r="AC180" s="151">
        <v>167135525</v>
      </c>
      <c r="AD180" s="151">
        <v>12753110</v>
      </c>
      <c r="AE180" s="151">
        <v>38510156</v>
      </c>
      <c r="AF180" s="151"/>
      <c r="AG180" s="151"/>
      <c r="AH180" s="151"/>
      <c r="AI180" s="151"/>
    </row>
    <row r="181" spans="1:63" s="47" customFormat="1" x14ac:dyDescent="0.35">
      <c r="A181" s="87"/>
      <c r="B181" s="9">
        <v>1</v>
      </c>
      <c r="C181" s="122" t="str">
        <f>'Option inputs'!$C$15</f>
        <v>Option 1A</v>
      </c>
      <c r="D181" s="62"/>
      <c r="E181" s="68" t="s">
        <v>35</v>
      </c>
      <c r="F181" s="151"/>
      <c r="G181" s="151">
        <v>4762</v>
      </c>
      <c r="H181" s="151">
        <v>426</v>
      </c>
      <c r="I181" s="151">
        <v>102</v>
      </c>
      <c r="J181" s="151">
        <v>1568</v>
      </c>
      <c r="K181" s="151">
        <v>50862104</v>
      </c>
      <c r="L181" s="151">
        <v>1617</v>
      </c>
      <c r="M181" s="151">
        <v>26153692</v>
      </c>
      <c r="N181" s="151">
        <v>99876386</v>
      </c>
      <c r="O181" s="151">
        <v>520404764</v>
      </c>
      <c r="P181" s="151">
        <v>202210612</v>
      </c>
      <c r="Q181" s="151">
        <v>308012389</v>
      </c>
      <c r="R181" s="151">
        <v>70</v>
      </c>
      <c r="S181" s="151">
        <v>411840461</v>
      </c>
      <c r="T181" s="151">
        <v>157086095</v>
      </c>
      <c r="U181" s="151">
        <v>20364431</v>
      </c>
      <c r="V181" s="151">
        <v>406</v>
      </c>
      <c r="W181" s="151">
        <v>28719836</v>
      </c>
      <c r="X181" s="151">
        <v>1454129862</v>
      </c>
      <c r="Y181" s="151">
        <v>147443790</v>
      </c>
      <c r="Z181" s="151">
        <v>70116404</v>
      </c>
      <c r="AA181" s="151">
        <v>14742682</v>
      </c>
      <c r="AB181" s="151">
        <v>260787260</v>
      </c>
      <c r="AC181" s="151">
        <v>152878979</v>
      </c>
      <c r="AD181" s="151">
        <v>14500251</v>
      </c>
      <c r="AE181" s="151">
        <v>44339564</v>
      </c>
      <c r="AF181" s="151"/>
      <c r="AG181" s="151"/>
      <c r="AH181" s="151"/>
      <c r="AI181" s="151"/>
    </row>
    <row r="182" spans="1:63" s="47" customFormat="1" x14ac:dyDescent="0.35">
      <c r="A182" s="87"/>
      <c r="B182" s="9">
        <v>2</v>
      </c>
      <c r="C182" s="122" t="str">
        <f>'Option inputs'!$C$16</f>
        <v>Option 1B</v>
      </c>
      <c r="D182" s="62"/>
      <c r="E182" s="68" t="s">
        <v>35</v>
      </c>
      <c r="F182" s="151"/>
      <c r="G182" s="151">
        <v>3280</v>
      </c>
      <c r="H182" s="151">
        <v>313</v>
      </c>
      <c r="I182" s="151">
        <v>51</v>
      </c>
      <c r="J182" s="151">
        <v>1252</v>
      </c>
      <c r="K182" s="151">
        <v>54781969</v>
      </c>
      <c r="L182" s="151">
        <v>1355</v>
      </c>
      <c r="M182" s="151">
        <v>14317766</v>
      </c>
      <c r="N182" s="151">
        <v>109345304</v>
      </c>
      <c r="O182" s="151">
        <v>504564772</v>
      </c>
      <c r="P182" s="151">
        <v>211571489</v>
      </c>
      <c r="Q182" s="151">
        <v>341057736</v>
      </c>
      <c r="R182" s="151">
        <v>35</v>
      </c>
      <c r="S182" s="151">
        <v>371525042</v>
      </c>
      <c r="T182" s="151">
        <v>192907098</v>
      </c>
      <c r="U182" s="151">
        <v>16664021</v>
      </c>
      <c r="V182" s="151">
        <v>138</v>
      </c>
      <c r="W182" s="151">
        <v>25443013</v>
      </c>
      <c r="X182" s="151">
        <v>1438528081</v>
      </c>
      <c r="Y182" s="151">
        <v>131464905</v>
      </c>
      <c r="Z182" s="151">
        <v>70958869</v>
      </c>
      <c r="AA182" s="151">
        <v>7854977</v>
      </c>
      <c r="AB182" s="151">
        <v>271665244</v>
      </c>
      <c r="AC182" s="151">
        <v>149400406</v>
      </c>
      <c r="AD182" s="151">
        <v>15718921</v>
      </c>
      <c r="AE182" s="151">
        <v>43843993</v>
      </c>
      <c r="AF182" s="151"/>
      <c r="AG182" s="151"/>
      <c r="AH182" s="151"/>
      <c r="AI182" s="151"/>
    </row>
    <row r="183" spans="1:63" s="47" customFormat="1" x14ac:dyDescent="0.35">
      <c r="A183" s="87"/>
      <c r="B183" s="9">
        <v>3</v>
      </c>
      <c r="C183" s="122" t="str">
        <f>'Option inputs'!$C$17</f>
        <v>Option 1C</v>
      </c>
      <c r="D183" s="62"/>
      <c r="E183" s="68" t="s">
        <v>35</v>
      </c>
      <c r="F183" s="151"/>
      <c r="G183" s="151">
        <v>380</v>
      </c>
      <c r="H183" s="151">
        <v>15</v>
      </c>
      <c r="I183" s="151">
        <v>9</v>
      </c>
      <c r="J183" s="151">
        <v>123</v>
      </c>
      <c r="K183" s="151">
        <v>97576180</v>
      </c>
      <c r="L183" s="151">
        <v>164</v>
      </c>
      <c r="M183" s="151">
        <v>153</v>
      </c>
      <c r="N183" s="151">
        <v>87502516</v>
      </c>
      <c r="O183" s="151">
        <v>504501454</v>
      </c>
      <c r="P183" s="151">
        <v>210113965</v>
      </c>
      <c r="Q183" s="151">
        <v>340509271</v>
      </c>
      <c r="R183" s="151">
        <v>8</v>
      </c>
      <c r="S183" s="151">
        <v>372428043</v>
      </c>
      <c r="T183" s="151">
        <v>192565549</v>
      </c>
      <c r="U183" s="151">
        <v>18235881</v>
      </c>
      <c r="V183" s="151">
        <v>28</v>
      </c>
      <c r="W183" s="151">
        <v>25052738</v>
      </c>
      <c r="X183" s="151">
        <v>1436407978</v>
      </c>
      <c r="Y183" s="151">
        <v>131480249</v>
      </c>
      <c r="Z183" s="151">
        <v>71201963</v>
      </c>
      <c r="AA183" s="151">
        <v>7813133</v>
      </c>
      <c r="AB183" s="151">
        <v>271569326</v>
      </c>
      <c r="AC183" s="151">
        <v>149357307</v>
      </c>
      <c r="AD183" s="151">
        <v>15715684</v>
      </c>
      <c r="AE183" s="151">
        <v>43847178</v>
      </c>
      <c r="AF183" s="151"/>
      <c r="AG183" s="151"/>
      <c r="AH183" s="151"/>
      <c r="AI183" s="151"/>
    </row>
    <row r="184" spans="1:63" s="47" customFormat="1" x14ac:dyDescent="0.35">
      <c r="A184" s="87"/>
      <c r="B184" s="9">
        <v>4</v>
      </c>
      <c r="C184" s="122" t="str">
        <f>'Option inputs'!$C$18</f>
        <v>Option 2A</v>
      </c>
      <c r="D184" s="62"/>
      <c r="E184" s="68" t="s">
        <v>35</v>
      </c>
      <c r="F184" s="151"/>
      <c r="G184" s="151">
        <v>713</v>
      </c>
      <c r="H184" s="151">
        <v>25</v>
      </c>
      <c r="I184" s="151">
        <v>16</v>
      </c>
      <c r="J184" s="151">
        <v>228</v>
      </c>
      <c r="K184" s="151">
        <v>179</v>
      </c>
      <c r="L184" s="151">
        <v>306</v>
      </c>
      <c r="M184" s="151">
        <v>14717295</v>
      </c>
      <c r="N184" s="151">
        <v>93103086</v>
      </c>
      <c r="O184" s="151">
        <v>413512825</v>
      </c>
      <c r="P184" s="151">
        <v>148319715</v>
      </c>
      <c r="Q184" s="151">
        <v>239548428</v>
      </c>
      <c r="R184" s="151">
        <v>15</v>
      </c>
      <c r="S184" s="151">
        <v>454950764</v>
      </c>
      <c r="T184" s="151">
        <v>232138220</v>
      </c>
      <c r="U184" s="151">
        <v>25063001</v>
      </c>
      <c r="V184" s="151">
        <v>72</v>
      </c>
      <c r="W184" s="151">
        <v>18169002</v>
      </c>
      <c r="X184" s="151">
        <v>1491176514</v>
      </c>
      <c r="Y184" s="151">
        <v>145474346</v>
      </c>
      <c r="Z184" s="151">
        <v>96418057</v>
      </c>
      <c r="AA184" s="151">
        <v>23526512</v>
      </c>
      <c r="AB184" s="151">
        <v>265773905</v>
      </c>
      <c r="AC184" s="151">
        <v>166967658</v>
      </c>
      <c r="AD184" s="151">
        <v>20920603</v>
      </c>
      <c r="AE184" s="151">
        <v>35827035</v>
      </c>
      <c r="AF184" s="151"/>
      <c r="AG184" s="151"/>
      <c r="AH184" s="151"/>
      <c r="AI184" s="151"/>
    </row>
    <row r="185" spans="1:63" s="47" customFormat="1" x14ac:dyDescent="0.35">
      <c r="A185" s="87"/>
      <c r="B185" s="9">
        <v>5</v>
      </c>
      <c r="C185" s="122" t="str">
        <f>'Option inputs'!$C$19</f>
        <v>Option 2B</v>
      </c>
      <c r="D185" s="62"/>
      <c r="E185" s="68" t="s">
        <v>35</v>
      </c>
      <c r="F185" s="151"/>
      <c r="G185" s="151">
        <v>2988</v>
      </c>
      <c r="H185" s="151">
        <v>202</v>
      </c>
      <c r="I185" s="151">
        <v>32</v>
      </c>
      <c r="J185" s="151">
        <v>994</v>
      </c>
      <c r="K185" s="151">
        <v>894</v>
      </c>
      <c r="L185" s="151">
        <v>1456</v>
      </c>
      <c r="M185" s="151">
        <v>1477</v>
      </c>
      <c r="N185" s="151">
        <v>94333151</v>
      </c>
      <c r="O185" s="151">
        <v>304626331</v>
      </c>
      <c r="P185" s="151">
        <v>154658264</v>
      </c>
      <c r="Q185" s="151">
        <v>345176728</v>
      </c>
      <c r="R185" s="151">
        <v>35</v>
      </c>
      <c r="S185" s="151">
        <v>440185988</v>
      </c>
      <c r="T185" s="151">
        <v>243744931</v>
      </c>
      <c r="U185" s="151">
        <v>25054066</v>
      </c>
      <c r="V185" s="151">
        <v>168</v>
      </c>
      <c r="W185" s="151">
        <v>12471998</v>
      </c>
      <c r="X185" s="151">
        <v>1481403771</v>
      </c>
      <c r="Y185" s="151">
        <v>159726429</v>
      </c>
      <c r="Z185" s="151">
        <v>82233868</v>
      </c>
      <c r="AA185" s="151">
        <v>16952197</v>
      </c>
      <c r="AB185" s="151">
        <v>269793878</v>
      </c>
      <c r="AC185" s="151">
        <v>150571337</v>
      </c>
      <c r="AD185" s="151">
        <v>30677762</v>
      </c>
      <c r="AE185" s="151">
        <v>27560645</v>
      </c>
      <c r="AF185" s="151"/>
      <c r="AG185" s="151"/>
      <c r="AH185" s="151"/>
      <c r="AI185" s="151"/>
    </row>
    <row r="186" spans="1:63" s="47" customFormat="1" x14ac:dyDescent="0.35">
      <c r="A186" s="87"/>
      <c r="B186" s="9">
        <v>6</v>
      </c>
      <c r="C186" s="122" t="str">
        <f>'Option inputs'!$C$20</f>
        <v>Option 2C</v>
      </c>
      <c r="D186" s="62"/>
      <c r="E186" s="68" t="s">
        <v>35</v>
      </c>
      <c r="F186" s="151"/>
      <c r="G186" s="151">
        <v>5598</v>
      </c>
      <c r="H186" s="151">
        <v>294</v>
      </c>
      <c r="I186" s="151">
        <v>149</v>
      </c>
      <c r="J186" s="151">
        <v>1625</v>
      </c>
      <c r="K186" s="151">
        <v>1972</v>
      </c>
      <c r="L186" s="151">
        <v>1254</v>
      </c>
      <c r="M186" s="151">
        <v>1231</v>
      </c>
      <c r="N186" s="151">
        <v>78740106</v>
      </c>
      <c r="O186" s="151">
        <v>318877355</v>
      </c>
      <c r="P186" s="151">
        <v>154737839</v>
      </c>
      <c r="Q186" s="151">
        <v>345046268</v>
      </c>
      <c r="R186" s="151">
        <v>176</v>
      </c>
      <c r="S186" s="151">
        <v>440261094</v>
      </c>
      <c r="T186" s="151">
        <v>243746543</v>
      </c>
      <c r="U186" s="151">
        <v>25067544</v>
      </c>
      <c r="V186" s="151">
        <v>194</v>
      </c>
      <c r="W186" s="151">
        <v>12552665</v>
      </c>
      <c r="X186" s="151">
        <v>1481751078</v>
      </c>
      <c r="Y186" s="151">
        <v>159736807</v>
      </c>
      <c r="Z186" s="151">
        <v>82255193</v>
      </c>
      <c r="AA186" s="151">
        <v>16944278</v>
      </c>
      <c r="AB186" s="151">
        <v>269793839</v>
      </c>
      <c r="AC186" s="151">
        <v>150565060</v>
      </c>
      <c r="AD186" s="151">
        <v>30667112</v>
      </c>
      <c r="AE186" s="151">
        <v>27569765</v>
      </c>
      <c r="AF186" s="151"/>
      <c r="AG186" s="151"/>
      <c r="AH186" s="151"/>
      <c r="AI186" s="151"/>
    </row>
    <row r="187" spans="1:63" s="47" customFormat="1" x14ac:dyDescent="0.35">
      <c r="A187" s="87"/>
      <c r="B187" s="9">
        <v>7</v>
      </c>
      <c r="C187" s="122" t="str">
        <f>'Option inputs'!$C$21</f>
        <v>Option 3A</v>
      </c>
      <c r="D187" s="62"/>
      <c r="E187" s="68" t="s">
        <v>35</v>
      </c>
      <c r="F187" s="130"/>
      <c r="G187" s="130">
        <v>810</v>
      </c>
      <c r="H187" s="151">
        <v>35</v>
      </c>
      <c r="I187" s="151">
        <v>19</v>
      </c>
      <c r="J187" s="151">
        <v>259</v>
      </c>
      <c r="K187" s="151">
        <v>203</v>
      </c>
      <c r="L187" s="151">
        <v>398</v>
      </c>
      <c r="M187" s="151">
        <v>28095721</v>
      </c>
      <c r="N187" s="151">
        <v>86268174</v>
      </c>
      <c r="O187" s="151">
        <v>435994663</v>
      </c>
      <c r="P187" s="151">
        <v>180079563</v>
      </c>
      <c r="Q187" s="151">
        <v>198492042</v>
      </c>
      <c r="R187" s="151">
        <v>19</v>
      </c>
      <c r="S187" s="151">
        <v>454462772</v>
      </c>
      <c r="T187" s="151">
        <v>220490623</v>
      </c>
      <c r="U187" s="151">
        <v>16902291</v>
      </c>
      <c r="V187" s="151">
        <v>97</v>
      </c>
      <c r="W187" s="151">
        <v>23324519</v>
      </c>
      <c r="X187" s="151">
        <v>1517876981</v>
      </c>
      <c r="Y187" s="151">
        <v>118348932</v>
      </c>
      <c r="Z187" s="151">
        <v>70674581</v>
      </c>
      <c r="AA187" s="151">
        <v>20648024</v>
      </c>
      <c r="AB187" s="151">
        <v>294721837</v>
      </c>
      <c r="AC187" s="151">
        <v>157242985</v>
      </c>
      <c r="AD187" s="151">
        <v>16641092</v>
      </c>
      <c r="AE187" s="151">
        <v>37604731</v>
      </c>
      <c r="AF187" s="151"/>
      <c r="AG187" s="151"/>
      <c r="AH187" s="151"/>
      <c r="AI187" s="151"/>
    </row>
    <row r="188" spans="1:63" s="47" customFormat="1" x14ac:dyDescent="0.35">
      <c r="A188" s="87"/>
      <c r="B188" s="64">
        <f>+'Option inputs'!$B$22</f>
        <v>8</v>
      </c>
      <c r="C188" s="122" t="str">
        <f>'Option inputs'!$C$22</f>
        <v>Option 3B</v>
      </c>
      <c r="D188" s="62"/>
      <c r="E188" s="68" t="s">
        <v>35</v>
      </c>
      <c r="F188" s="130"/>
      <c r="G188" s="130">
        <v>2686</v>
      </c>
      <c r="H188" s="151">
        <v>184</v>
      </c>
      <c r="I188" s="151">
        <v>74</v>
      </c>
      <c r="J188" s="151">
        <v>880</v>
      </c>
      <c r="K188" s="151">
        <v>583</v>
      </c>
      <c r="L188" s="151">
        <v>1058</v>
      </c>
      <c r="M188" s="151">
        <v>7747924</v>
      </c>
      <c r="N188" s="151">
        <v>92194706</v>
      </c>
      <c r="O188" s="151">
        <v>301741167</v>
      </c>
      <c r="P188" s="151">
        <v>153174225</v>
      </c>
      <c r="Q188" s="151">
        <v>345722078</v>
      </c>
      <c r="R188" s="151">
        <v>27</v>
      </c>
      <c r="S188" s="151">
        <v>436331479</v>
      </c>
      <c r="T188" s="151">
        <v>246237972</v>
      </c>
      <c r="U188" s="151">
        <v>25090086</v>
      </c>
      <c r="V188" s="151">
        <v>121</v>
      </c>
      <c r="W188" s="151">
        <v>13241562</v>
      </c>
      <c r="X188" s="151">
        <v>1474821408</v>
      </c>
      <c r="Y188" s="151">
        <v>150600755</v>
      </c>
      <c r="Z188" s="151">
        <v>82753396</v>
      </c>
      <c r="AA188" s="151">
        <v>15594547</v>
      </c>
      <c r="AB188" s="151">
        <v>275588363</v>
      </c>
      <c r="AC188" s="151">
        <v>151682050</v>
      </c>
      <c r="AD188" s="151">
        <v>31647815</v>
      </c>
      <c r="AE188" s="151">
        <v>27662185</v>
      </c>
      <c r="AF188" s="151"/>
      <c r="AG188" s="151"/>
      <c r="AH188" s="151"/>
      <c r="AI188" s="151"/>
    </row>
    <row r="189" spans="1:63" s="47" customFormat="1" x14ac:dyDescent="0.35">
      <c r="A189" s="87"/>
      <c r="B189" s="64">
        <f>+'Option inputs'!$B$23</f>
        <v>9</v>
      </c>
      <c r="C189" s="122" t="str">
        <f>'Option inputs'!$C$23</f>
        <v>Option 3C</v>
      </c>
      <c r="D189" s="62"/>
      <c r="E189" s="68" t="s">
        <v>35</v>
      </c>
      <c r="F189" s="130"/>
      <c r="G189" s="130">
        <v>4428</v>
      </c>
      <c r="H189" s="151">
        <v>377</v>
      </c>
      <c r="I189" s="151">
        <v>82</v>
      </c>
      <c r="J189" s="151">
        <v>1466</v>
      </c>
      <c r="K189" s="151">
        <v>1404</v>
      </c>
      <c r="L189" s="151">
        <v>1344</v>
      </c>
      <c r="M189" s="151">
        <v>1356</v>
      </c>
      <c r="N189" s="151">
        <v>85325113</v>
      </c>
      <c r="O189" s="151">
        <v>317412021</v>
      </c>
      <c r="P189" s="151">
        <v>152813296</v>
      </c>
      <c r="Q189" s="151">
        <v>346664945</v>
      </c>
      <c r="R189" s="151">
        <v>48</v>
      </c>
      <c r="S189" s="151">
        <v>436050121</v>
      </c>
      <c r="T189" s="151">
        <v>246380615</v>
      </c>
      <c r="U189" s="151">
        <v>25086767</v>
      </c>
      <c r="V189" s="151">
        <v>147</v>
      </c>
      <c r="W189" s="151">
        <v>13044671</v>
      </c>
      <c r="X189" s="151">
        <v>1473634448</v>
      </c>
      <c r="Y189" s="151">
        <v>150591220</v>
      </c>
      <c r="Z189" s="151">
        <v>82824435</v>
      </c>
      <c r="AA189" s="151">
        <v>15591188</v>
      </c>
      <c r="AB189" s="151">
        <v>275563857</v>
      </c>
      <c r="AC189" s="151">
        <v>151669086</v>
      </c>
      <c r="AD189" s="151">
        <v>31667535</v>
      </c>
      <c r="AE189" s="151">
        <v>27657481</v>
      </c>
      <c r="AF189" s="151"/>
      <c r="AG189" s="151"/>
      <c r="AH189" s="151"/>
      <c r="AI189" s="151"/>
    </row>
    <row r="190" spans="1:63" s="47" customFormat="1" x14ac:dyDescent="0.35">
      <c r="A190" s="87"/>
      <c r="B190" s="64">
        <f>+'Option inputs'!$B$24</f>
        <v>10</v>
      </c>
      <c r="C190" s="122" t="str">
        <f>'Option inputs'!$C$24</f>
        <v>Option 4A</v>
      </c>
      <c r="D190" s="62"/>
      <c r="E190" s="68" t="s">
        <v>35</v>
      </c>
      <c r="F190" s="130"/>
      <c r="G190" s="130">
        <v>4752</v>
      </c>
      <c r="H190" s="151">
        <v>390</v>
      </c>
      <c r="I190" s="151">
        <v>71</v>
      </c>
      <c r="J190" s="151">
        <v>1460</v>
      </c>
      <c r="K190" s="151">
        <v>1038</v>
      </c>
      <c r="L190" s="151">
        <v>2085</v>
      </c>
      <c r="M190" s="151">
        <v>13585833</v>
      </c>
      <c r="N190" s="151">
        <v>89787033</v>
      </c>
      <c r="O190" s="151">
        <v>399726017</v>
      </c>
      <c r="P190" s="151">
        <v>177622842</v>
      </c>
      <c r="Q190" s="151">
        <v>199830746</v>
      </c>
      <c r="R190" s="151">
        <v>59</v>
      </c>
      <c r="S190" s="151">
        <v>459878309</v>
      </c>
      <c r="T190" s="151">
        <v>222179927</v>
      </c>
      <c r="U190" s="151">
        <v>25103336</v>
      </c>
      <c r="V190" s="151">
        <v>349</v>
      </c>
      <c r="W190" s="151">
        <v>21701425</v>
      </c>
      <c r="X190" s="151">
        <v>1531817926</v>
      </c>
      <c r="Y190" s="151">
        <v>117534688</v>
      </c>
      <c r="Z190" s="151">
        <v>72246381</v>
      </c>
      <c r="AA190" s="151">
        <v>18196415</v>
      </c>
      <c r="AB190" s="151">
        <v>292921212</v>
      </c>
      <c r="AC190" s="151">
        <v>151950002</v>
      </c>
      <c r="AD190" s="151">
        <v>18727944</v>
      </c>
      <c r="AE190" s="151">
        <v>37833185</v>
      </c>
      <c r="AF190" s="151"/>
      <c r="AG190" s="151"/>
      <c r="AH190" s="151"/>
      <c r="AI190" s="151"/>
    </row>
    <row r="191" spans="1:63" s="47" customFormat="1" x14ac:dyDescent="0.35">
      <c r="A191" s="87"/>
      <c r="B191" s="64">
        <f>+'Option inputs'!$B$25</f>
        <v>11</v>
      </c>
      <c r="C191" s="122" t="str">
        <f>'Option inputs'!$C$25</f>
        <v>Option 4B</v>
      </c>
      <c r="D191" s="62"/>
      <c r="E191" s="68" t="s">
        <v>35</v>
      </c>
      <c r="F191" s="130"/>
      <c r="G191" s="130">
        <v>2824</v>
      </c>
      <c r="H191" s="151">
        <v>271</v>
      </c>
      <c r="I191" s="151">
        <v>33</v>
      </c>
      <c r="J191" s="151">
        <v>1078</v>
      </c>
      <c r="K191" s="151">
        <v>700</v>
      </c>
      <c r="L191" s="151">
        <v>1281</v>
      </c>
      <c r="M191" s="151">
        <v>1282</v>
      </c>
      <c r="N191" s="151">
        <v>88034291</v>
      </c>
      <c r="O191" s="151">
        <v>287996556</v>
      </c>
      <c r="P191" s="151">
        <v>138738296</v>
      </c>
      <c r="Q191" s="151">
        <v>366844126</v>
      </c>
      <c r="R191" s="151">
        <v>34</v>
      </c>
      <c r="S191" s="151">
        <v>422020399</v>
      </c>
      <c r="T191" s="151">
        <v>242015765</v>
      </c>
      <c r="U191" s="151">
        <v>24689328</v>
      </c>
      <c r="V191" s="151">
        <v>156</v>
      </c>
      <c r="W191" s="151">
        <v>12354674</v>
      </c>
      <c r="X191" s="151">
        <v>1468819011</v>
      </c>
      <c r="Y191" s="151">
        <v>152954133</v>
      </c>
      <c r="Z191" s="151">
        <v>84508843</v>
      </c>
      <c r="AA191" s="151">
        <v>10750923</v>
      </c>
      <c r="AB191" s="151">
        <v>279552776</v>
      </c>
      <c r="AC191" s="151">
        <v>158622243</v>
      </c>
      <c r="AD191" s="151">
        <v>36287058</v>
      </c>
      <c r="AE191" s="151">
        <v>26504416</v>
      </c>
      <c r="AF191" s="151"/>
      <c r="AG191" s="151"/>
      <c r="AH191" s="151"/>
      <c r="AI191" s="151"/>
    </row>
    <row r="192" spans="1:63" s="47" customFormat="1" x14ac:dyDescent="0.35">
      <c r="A192" s="87"/>
      <c r="B192" s="64">
        <f>+'Option inputs'!$B$26</f>
        <v>12</v>
      </c>
      <c r="C192" s="122" t="str">
        <f>'Option inputs'!$C$26</f>
        <v>Option 4C</v>
      </c>
      <c r="D192" s="62"/>
      <c r="E192" s="68" t="s">
        <v>35</v>
      </c>
      <c r="F192" s="130"/>
      <c r="G192" s="130">
        <v>2672</v>
      </c>
      <c r="H192" s="151">
        <v>115</v>
      </c>
      <c r="I192" s="151">
        <v>69</v>
      </c>
      <c r="J192" s="151">
        <v>844</v>
      </c>
      <c r="K192" s="151">
        <v>861</v>
      </c>
      <c r="L192" s="151">
        <v>1002</v>
      </c>
      <c r="M192" s="151">
        <v>841</v>
      </c>
      <c r="N192" s="151">
        <v>74503672</v>
      </c>
      <c r="O192" s="151">
        <v>300843369</v>
      </c>
      <c r="P192" s="151">
        <v>139987381</v>
      </c>
      <c r="Q192" s="151">
        <v>365786510</v>
      </c>
      <c r="R192" s="151">
        <v>96</v>
      </c>
      <c r="S192" s="151">
        <v>422135395</v>
      </c>
      <c r="T192" s="151">
        <v>241929571</v>
      </c>
      <c r="U192" s="151">
        <v>24711094</v>
      </c>
      <c r="V192" s="151">
        <v>292</v>
      </c>
      <c r="W192" s="151">
        <v>12367681</v>
      </c>
      <c r="X192" s="151">
        <v>1468805386</v>
      </c>
      <c r="Y192" s="151">
        <v>152958568</v>
      </c>
      <c r="Z192" s="151">
        <v>84513604</v>
      </c>
      <c r="AA192" s="151">
        <v>10745036</v>
      </c>
      <c r="AB192" s="151">
        <v>279560427</v>
      </c>
      <c r="AC192" s="151">
        <v>158612295</v>
      </c>
      <c r="AD192" s="151">
        <v>36281854</v>
      </c>
      <c r="AE192" s="151">
        <v>26524468</v>
      </c>
      <c r="AF192" s="151"/>
      <c r="AG192" s="151"/>
      <c r="AH192" s="151"/>
      <c r="AI192" s="151"/>
    </row>
    <row r="193" spans="1:35" s="47" customFormat="1" x14ac:dyDescent="0.35">
      <c r="A193" s="87"/>
      <c r="B193" s="65"/>
      <c r="C193" s="76"/>
      <c r="D193" s="76"/>
      <c r="E193" s="7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H193" s="78"/>
      <c r="AI193" s="78"/>
    </row>
    <row r="194" spans="1:35" x14ac:dyDescent="0.35">
      <c r="B194" s="58" t="s">
        <v>27</v>
      </c>
      <c r="C194" s="58"/>
      <c r="D194" s="58"/>
      <c r="E194" s="114" t="s">
        <v>28</v>
      </c>
      <c r="F194" s="115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</row>
    <row r="195" spans="1:35" s="47" customFormat="1" x14ac:dyDescent="0.35">
      <c r="A195" s="87"/>
      <c r="B195" s="117"/>
      <c r="C195" s="117"/>
      <c r="D195" s="117"/>
      <c r="E195" s="118"/>
      <c r="F195" s="120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</row>
    <row r="196" spans="1:35" x14ac:dyDescent="0.35">
      <c r="B196" s="59" t="s">
        <v>14</v>
      </c>
      <c r="C196" s="59" t="s">
        <v>13</v>
      </c>
      <c r="D196" s="80" t="str">
        <f>'Interface and charts'!$I$6</f>
        <v>Central</v>
      </c>
      <c r="E196" s="63" t="s">
        <v>7</v>
      </c>
      <c r="F196" s="171" t="str">
        <f>Calculation!G$56</f>
        <v>FY 2019-20</v>
      </c>
      <c r="G196" s="171" t="str">
        <f>Calculation!H$56</f>
        <v>FY 2020-21</v>
      </c>
      <c r="H196" s="171" t="str">
        <f>Calculation!I$56</f>
        <v>FY 2021-22</v>
      </c>
      <c r="I196" s="171" t="str">
        <f>Calculation!J$56</f>
        <v>FY 2022-23</v>
      </c>
      <c r="J196" s="171" t="str">
        <f>Calculation!K$56</f>
        <v>FY 2023-24</v>
      </c>
      <c r="K196" s="171" t="str">
        <f>Calculation!L$56</f>
        <v>FY 2024-25</v>
      </c>
      <c r="L196" s="171" t="str">
        <f>Calculation!M$56</f>
        <v>FY 2025-26</v>
      </c>
      <c r="M196" s="171" t="str">
        <f>Calculation!N$56</f>
        <v>FY 2026-27</v>
      </c>
      <c r="N196" s="171" t="str">
        <f>Calculation!O$56</f>
        <v>FY 2027-28</v>
      </c>
      <c r="O196" s="171" t="str">
        <f>Calculation!P$56</f>
        <v>FY 2028-29</v>
      </c>
      <c r="P196" s="171" t="str">
        <f>Calculation!Q$56</f>
        <v>FY 2029-30</v>
      </c>
      <c r="Q196" s="171" t="str">
        <f>Calculation!R$56</f>
        <v>FY 2030-31</v>
      </c>
      <c r="R196" s="171" t="str">
        <f>Calculation!S$56</f>
        <v>FY 2031-32</v>
      </c>
      <c r="S196" s="171" t="str">
        <f>Calculation!T$56</f>
        <v>FY 2032-33</v>
      </c>
      <c r="T196" s="171" t="str">
        <f>Calculation!U$56</f>
        <v>FY 2033-34</v>
      </c>
      <c r="U196" s="171" t="str">
        <f>Calculation!V$56</f>
        <v>FY 2034-35</v>
      </c>
      <c r="V196" s="171" t="str">
        <f>Calculation!W$56</f>
        <v>FY 2035-36</v>
      </c>
      <c r="W196" s="171" t="str">
        <f>Calculation!X$56</f>
        <v>FY 2036-37</v>
      </c>
      <c r="X196" s="171" t="str">
        <f>Calculation!Y$56</f>
        <v>FY 2037-38</v>
      </c>
      <c r="Y196" s="171" t="str">
        <f>Calculation!Z$56</f>
        <v>FY 2038-39</v>
      </c>
      <c r="Z196" s="171" t="str">
        <f>Calculation!AA$56</f>
        <v>FY 2039-40</v>
      </c>
      <c r="AA196" s="171" t="str">
        <f>Calculation!AB$56</f>
        <v>FY 2040-41</v>
      </c>
      <c r="AB196" s="171" t="str">
        <f>Calculation!AC$56</f>
        <v>FY 2041-42</v>
      </c>
      <c r="AC196" s="171" t="str">
        <f>Calculation!AD$56</f>
        <v>FY 2042-43</v>
      </c>
      <c r="AD196" s="171" t="str">
        <f>Calculation!AE$56</f>
        <v>FY 2043-44</v>
      </c>
      <c r="AE196" s="171" t="str">
        <f>Calculation!AF$56</f>
        <v>FY 2044-45</v>
      </c>
      <c r="AF196" s="171" t="str">
        <f>Calculation!AG$56</f>
        <v>FY 2045-46</v>
      </c>
      <c r="AG196" s="171" t="str">
        <f>Calculation!AH$56</f>
        <v>FY 2046-47</v>
      </c>
      <c r="AH196" s="171" t="str">
        <f>Calculation!AI$56</f>
        <v>FY 2047-48</v>
      </c>
      <c r="AI196" s="171" t="str">
        <f>Calculation!AJ$56</f>
        <v>FY 2048-49</v>
      </c>
    </row>
    <row r="197" spans="1:35" x14ac:dyDescent="0.35">
      <c r="B197" s="9">
        <v>0</v>
      </c>
      <c r="C197" s="123" t="str">
        <f>'Option inputs'!$C$14</f>
        <v>Base case</v>
      </c>
      <c r="D197" s="62"/>
      <c r="E197" s="68" t="s">
        <v>35</v>
      </c>
      <c r="F197" s="151"/>
      <c r="G197" s="151">
        <v>3046379501</v>
      </c>
      <c r="H197" s="151">
        <v>2890560091</v>
      </c>
      <c r="I197" s="151">
        <v>2780655455</v>
      </c>
      <c r="J197" s="151">
        <v>2732101278</v>
      </c>
      <c r="K197" s="151">
        <v>2717974073</v>
      </c>
      <c r="L197" s="151">
        <v>2640975355</v>
      </c>
      <c r="M197" s="151">
        <v>2560773166</v>
      </c>
      <c r="N197" s="151">
        <v>2600186589</v>
      </c>
      <c r="O197" s="151">
        <v>2621346640</v>
      </c>
      <c r="P197" s="151">
        <v>2586364661</v>
      </c>
      <c r="Q197" s="151">
        <v>2699235960</v>
      </c>
      <c r="R197" s="151">
        <v>2319843854</v>
      </c>
      <c r="S197" s="151">
        <v>2511440503</v>
      </c>
      <c r="T197" s="151">
        <v>2516798336</v>
      </c>
      <c r="U197" s="151">
        <v>2380037830</v>
      </c>
      <c r="V197" s="151">
        <v>2023441102</v>
      </c>
      <c r="W197" s="151">
        <v>2052646740</v>
      </c>
      <c r="X197" s="151">
        <v>2431808954</v>
      </c>
      <c r="Y197" s="151">
        <v>2398628390</v>
      </c>
      <c r="Z197" s="151">
        <v>2497436197</v>
      </c>
      <c r="AA197" s="151">
        <v>2299595735</v>
      </c>
      <c r="AB197" s="151">
        <v>2566060280</v>
      </c>
      <c r="AC197" s="151">
        <v>3069357323</v>
      </c>
      <c r="AD197" s="151">
        <v>3077042500</v>
      </c>
      <c r="AE197" s="151">
        <v>2617553630</v>
      </c>
      <c r="AF197" s="151"/>
      <c r="AG197" s="151"/>
      <c r="AH197" s="151"/>
      <c r="AI197" s="151"/>
    </row>
    <row r="198" spans="1:35" x14ac:dyDescent="0.35">
      <c r="B198" s="9">
        <v>1</v>
      </c>
      <c r="C198" s="122" t="str">
        <f>'Option inputs'!$C$15</f>
        <v>Option 1A</v>
      </c>
      <c r="D198" s="62"/>
      <c r="E198" s="68" t="s">
        <v>35</v>
      </c>
      <c r="F198" s="151"/>
      <c r="G198" s="151">
        <v>3046373649</v>
      </c>
      <c r="H198" s="151">
        <v>2890554414</v>
      </c>
      <c r="I198" s="151">
        <v>2780649082</v>
      </c>
      <c r="J198" s="151">
        <v>2750735517</v>
      </c>
      <c r="K198" s="151">
        <v>2736503491</v>
      </c>
      <c r="L198" s="151">
        <v>2658563237</v>
      </c>
      <c r="M198" s="151">
        <v>2579593577</v>
      </c>
      <c r="N198" s="151">
        <v>2620767283</v>
      </c>
      <c r="O198" s="151">
        <v>2638256675</v>
      </c>
      <c r="P198" s="151">
        <v>2630537106</v>
      </c>
      <c r="Q198" s="151">
        <v>2754958754</v>
      </c>
      <c r="R198" s="151">
        <v>2323965392</v>
      </c>
      <c r="S198" s="151">
        <v>2504700976</v>
      </c>
      <c r="T198" s="151">
        <v>2513306353</v>
      </c>
      <c r="U198" s="151">
        <v>2386902442</v>
      </c>
      <c r="V198" s="151">
        <v>1967131747</v>
      </c>
      <c r="W198" s="151">
        <v>2003797986</v>
      </c>
      <c r="X198" s="151">
        <v>2368967627</v>
      </c>
      <c r="Y198" s="151">
        <v>2322992137</v>
      </c>
      <c r="Z198" s="151">
        <v>2417053719</v>
      </c>
      <c r="AA198" s="151">
        <v>2229473248</v>
      </c>
      <c r="AB198" s="151">
        <v>2498209417</v>
      </c>
      <c r="AC198" s="151">
        <v>3014604522</v>
      </c>
      <c r="AD198" s="151">
        <v>3025727592</v>
      </c>
      <c r="AE198" s="151">
        <v>2556678120</v>
      </c>
      <c r="AF198" s="151"/>
      <c r="AG198" s="151"/>
      <c r="AH198" s="151"/>
      <c r="AI198" s="151"/>
    </row>
    <row r="199" spans="1:35" x14ac:dyDescent="0.35">
      <c r="B199" s="9">
        <v>2</v>
      </c>
      <c r="C199" s="122" t="str">
        <f>'Option inputs'!$C$16</f>
        <v>Option 1B</v>
      </c>
      <c r="D199" s="62"/>
      <c r="E199" s="68" t="s">
        <v>35</v>
      </c>
      <c r="F199" s="151"/>
      <c r="G199" s="151">
        <v>3046368536</v>
      </c>
      <c r="H199" s="151">
        <v>2890549275</v>
      </c>
      <c r="I199" s="151">
        <v>2780642952</v>
      </c>
      <c r="J199" s="151">
        <v>2751100844</v>
      </c>
      <c r="K199" s="151">
        <v>2735187734</v>
      </c>
      <c r="L199" s="151">
        <v>2656876008</v>
      </c>
      <c r="M199" s="151">
        <v>2577675389</v>
      </c>
      <c r="N199" s="151">
        <v>2619086723</v>
      </c>
      <c r="O199" s="151">
        <v>2637085758</v>
      </c>
      <c r="P199" s="151">
        <v>2700467062</v>
      </c>
      <c r="Q199" s="151">
        <v>2753843518</v>
      </c>
      <c r="R199" s="151">
        <v>2365392394</v>
      </c>
      <c r="S199" s="151">
        <v>2523951433</v>
      </c>
      <c r="T199" s="151">
        <v>2513838555</v>
      </c>
      <c r="U199" s="151">
        <v>2396364517</v>
      </c>
      <c r="V199" s="151">
        <v>1959627717</v>
      </c>
      <c r="W199" s="151">
        <v>2001591779</v>
      </c>
      <c r="X199" s="151">
        <v>2295812010</v>
      </c>
      <c r="Y199" s="151">
        <v>2268502248</v>
      </c>
      <c r="Z199" s="151">
        <v>2364730015</v>
      </c>
      <c r="AA199" s="151">
        <v>2184330370</v>
      </c>
      <c r="AB199" s="151">
        <v>2425601536</v>
      </c>
      <c r="AC199" s="151">
        <v>2943459646</v>
      </c>
      <c r="AD199" s="151">
        <v>2969432290</v>
      </c>
      <c r="AE199" s="151">
        <v>2487208766</v>
      </c>
      <c r="AF199" s="151"/>
      <c r="AG199" s="151"/>
      <c r="AH199" s="151"/>
      <c r="AI199" s="151"/>
    </row>
    <row r="200" spans="1:35" x14ac:dyDescent="0.35">
      <c r="B200" s="9">
        <v>3</v>
      </c>
      <c r="C200" s="122" t="str">
        <f>'Option inputs'!$C$17</f>
        <v>Option 1C</v>
      </c>
      <c r="D200" s="62"/>
      <c r="E200" s="68" t="s">
        <v>35</v>
      </c>
      <c r="F200" s="151"/>
      <c r="G200" s="151">
        <v>3046377311</v>
      </c>
      <c r="H200" s="151">
        <v>2890557948</v>
      </c>
      <c r="I200" s="151">
        <v>2780653142</v>
      </c>
      <c r="J200" s="151">
        <v>2729252826</v>
      </c>
      <c r="K200" s="151">
        <v>2714055831</v>
      </c>
      <c r="L200" s="151">
        <v>2635033428</v>
      </c>
      <c r="M200" s="151">
        <v>2553782683</v>
      </c>
      <c r="N200" s="151">
        <v>2595620085</v>
      </c>
      <c r="O200" s="151">
        <v>2616665463</v>
      </c>
      <c r="P200" s="151">
        <v>2693383915</v>
      </c>
      <c r="Q200" s="151">
        <v>2753314567</v>
      </c>
      <c r="R200" s="151">
        <v>2365379527</v>
      </c>
      <c r="S200" s="151">
        <v>2523940785</v>
      </c>
      <c r="T200" s="151">
        <v>2513848868</v>
      </c>
      <c r="U200" s="151">
        <v>2396350698</v>
      </c>
      <c r="V200" s="151">
        <v>1959637087</v>
      </c>
      <c r="W200" s="151">
        <v>2001605703</v>
      </c>
      <c r="X200" s="151">
        <v>2295802651</v>
      </c>
      <c r="Y200" s="151">
        <v>2268429182</v>
      </c>
      <c r="Z200" s="151">
        <v>2364668999</v>
      </c>
      <c r="AA200" s="151">
        <v>2184306965</v>
      </c>
      <c r="AB200" s="151">
        <v>2425597928</v>
      </c>
      <c r="AC200" s="151">
        <v>2943481734</v>
      </c>
      <c r="AD200" s="151">
        <v>2969452544</v>
      </c>
      <c r="AE200" s="151">
        <v>2487220779</v>
      </c>
      <c r="AF200" s="151"/>
      <c r="AG200" s="151"/>
      <c r="AH200" s="151"/>
      <c r="AI200" s="151"/>
    </row>
    <row r="201" spans="1:35" x14ac:dyDescent="0.35">
      <c r="B201" s="9">
        <v>4</v>
      </c>
      <c r="C201" s="122" t="str">
        <f>'Option inputs'!$C$18</f>
        <v>Option 2A</v>
      </c>
      <c r="D201" s="62"/>
      <c r="E201" s="68" t="s">
        <v>35</v>
      </c>
      <c r="F201" s="151"/>
      <c r="G201" s="151">
        <v>3046375501</v>
      </c>
      <c r="H201" s="151">
        <v>2890556220</v>
      </c>
      <c r="I201" s="151">
        <v>2780651220</v>
      </c>
      <c r="J201" s="151">
        <v>2762136759</v>
      </c>
      <c r="K201" s="151">
        <v>2743582455</v>
      </c>
      <c r="L201" s="151">
        <v>2666087996</v>
      </c>
      <c r="M201" s="151">
        <v>2573680097</v>
      </c>
      <c r="N201" s="151">
        <v>2613853633</v>
      </c>
      <c r="O201" s="151">
        <v>2637721126</v>
      </c>
      <c r="P201" s="151">
        <v>2635682232</v>
      </c>
      <c r="Q201" s="151">
        <v>2707207468</v>
      </c>
      <c r="R201" s="151">
        <v>2290978067</v>
      </c>
      <c r="S201" s="151">
        <v>2468387558</v>
      </c>
      <c r="T201" s="151">
        <v>2469834833</v>
      </c>
      <c r="U201" s="151">
        <v>2324531978</v>
      </c>
      <c r="V201" s="151">
        <v>1882390559</v>
      </c>
      <c r="W201" s="151">
        <v>1905717012</v>
      </c>
      <c r="X201" s="151">
        <v>1935488069</v>
      </c>
      <c r="Y201" s="151">
        <v>1945374871</v>
      </c>
      <c r="Z201" s="151">
        <v>2066612647</v>
      </c>
      <c r="AA201" s="151">
        <v>1874315010</v>
      </c>
      <c r="AB201" s="151">
        <v>2138139934</v>
      </c>
      <c r="AC201" s="151">
        <v>2581212936</v>
      </c>
      <c r="AD201" s="151">
        <v>2645806733</v>
      </c>
      <c r="AE201" s="151">
        <v>2145339711</v>
      </c>
      <c r="AF201" s="151"/>
      <c r="AG201" s="151"/>
      <c r="AH201" s="151"/>
      <c r="AI201" s="151"/>
    </row>
    <row r="202" spans="1:35" x14ac:dyDescent="0.35">
      <c r="B202" s="9">
        <v>5</v>
      </c>
      <c r="C202" s="122" t="str">
        <f>'Option inputs'!$C$19</f>
        <v>Option 2B</v>
      </c>
      <c r="D202" s="62"/>
      <c r="E202" s="68" t="s">
        <v>35</v>
      </c>
      <c r="F202" s="151"/>
      <c r="G202" s="151">
        <v>3046376287</v>
      </c>
      <c r="H202" s="151">
        <v>2890556940</v>
      </c>
      <c r="I202" s="151">
        <v>2780651901</v>
      </c>
      <c r="J202" s="151">
        <v>2764960913</v>
      </c>
      <c r="K202" s="151">
        <v>2743082994</v>
      </c>
      <c r="L202" s="151">
        <v>2665404846</v>
      </c>
      <c r="M202" s="151">
        <v>2572349247</v>
      </c>
      <c r="N202" s="151">
        <v>2612650010</v>
      </c>
      <c r="O202" s="151">
        <v>2637181110</v>
      </c>
      <c r="P202" s="151">
        <v>2648119827</v>
      </c>
      <c r="Q202" s="151">
        <v>2695243969</v>
      </c>
      <c r="R202" s="151">
        <v>2321706100</v>
      </c>
      <c r="S202" s="151">
        <v>2485144941</v>
      </c>
      <c r="T202" s="151">
        <v>2477984148</v>
      </c>
      <c r="U202" s="151">
        <v>2343142463</v>
      </c>
      <c r="V202" s="151">
        <v>1863632290</v>
      </c>
      <c r="W202" s="151">
        <v>1883616545</v>
      </c>
      <c r="X202" s="151">
        <v>1849044508</v>
      </c>
      <c r="Y202" s="151">
        <v>1853722896</v>
      </c>
      <c r="Z202" s="151">
        <v>1946697739</v>
      </c>
      <c r="AA202" s="151">
        <v>1765938350</v>
      </c>
      <c r="AB202" s="151">
        <v>2039332580</v>
      </c>
      <c r="AC202" s="151">
        <v>2465090096</v>
      </c>
      <c r="AD202" s="151">
        <v>2538123952</v>
      </c>
      <c r="AE202" s="151">
        <v>2022300549</v>
      </c>
      <c r="AF202" s="151"/>
      <c r="AG202" s="151"/>
      <c r="AH202" s="151"/>
      <c r="AI202" s="151"/>
    </row>
    <row r="203" spans="1:35" x14ac:dyDescent="0.35">
      <c r="B203" s="9">
        <v>6</v>
      </c>
      <c r="C203" s="122" t="str">
        <f>'Option inputs'!$C$20</f>
        <v>Option 2C</v>
      </c>
      <c r="D203" s="62"/>
      <c r="E203" s="68" t="s">
        <v>35</v>
      </c>
      <c r="F203" s="151"/>
      <c r="G203" s="151">
        <v>3046380414</v>
      </c>
      <c r="H203" s="151">
        <v>2890560851</v>
      </c>
      <c r="I203" s="151">
        <v>2780656507</v>
      </c>
      <c r="J203" s="151">
        <v>2779300585</v>
      </c>
      <c r="K203" s="151">
        <v>2755382977</v>
      </c>
      <c r="L203" s="151">
        <v>2677311001</v>
      </c>
      <c r="M203" s="151">
        <v>2584277311</v>
      </c>
      <c r="N203" s="151">
        <v>2625727319</v>
      </c>
      <c r="O203" s="151">
        <v>2646887536</v>
      </c>
      <c r="P203" s="151">
        <v>2648195899</v>
      </c>
      <c r="Q203" s="151">
        <v>2695257282</v>
      </c>
      <c r="R203" s="151">
        <v>2321710261</v>
      </c>
      <c r="S203" s="151">
        <v>2485161948</v>
      </c>
      <c r="T203" s="151">
        <v>2477979366</v>
      </c>
      <c r="U203" s="151">
        <v>2343172452</v>
      </c>
      <c r="V203" s="151">
        <v>1863651139</v>
      </c>
      <c r="W203" s="151">
        <v>1883610679</v>
      </c>
      <c r="X203" s="151">
        <v>1849031965</v>
      </c>
      <c r="Y203" s="151">
        <v>1853717618</v>
      </c>
      <c r="Z203" s="151">
        <v>1946680720</v>
      </c>
      <c r="AA203" s="151">
        <v>1765932802</v>
      </c>
      <c r="AB203" s="151">
        <v>2039339537</v>
      </c>
      <c r="AC203" s="151">
        <v>2465060431</v>
      </c>
      <c r="AD203" s="151">
        <v>2538114026</v>
      </c>
      <c r="AE203" s="151">
        <v>2022270716</v>
      </c>
      <c r="AF203" s="151"/>
      <c r="AG203" s="151"/>
      <c r="AH203" s="151"/>
      <c r="AI203" s="151"/>
    </row>
    <row r="204" spans="1:35" x14ac:dyDescent="0.35">
      <c r="B204" s="9">
        <v>7</v>
      </c>
      <c r="C204" s="122" t="str">
        <f>'Option inputs'!$C$21</f>
        <v>Option 3A</v>
      </c>
      <c r="D204" s="119"/>
      <c r="E204" s="68" t="s">
        <v>35</v>
      </c>
      <c r="F204" s="130"/>
      <c r="G204" s="130">
        <v>3046379012</v>
      </c>
      <c r="H204" s="130">
        <v>2890559558</v>
      </c>
      <c r="I204" s="130">
        <v>2780654922</v>
      </c>
      <c r="J204" s="130">
        <v>2756971737</v>
      </c>
      <c r="K204" s="130">
        <v>2739047379</v>
      </c>
      <c r="L204" s="130">
        <v>2661711120</v>
      </c>
      <c r="M204" s="130">
        <v>2570430775</v>
      </c>
      <c r="N204" s="130">
        <v>2609543647</v>
      </c>
      <c r="O204" s="130">
        <v>2633573778</v>
      </c>
      <c r="P204" s="130">
        <v>2604099496</v>
      </c>
      <c r="Q204" s="130">
        <v>2683878908</v>
      </c>
      <c r="R204" s="130">
        <v>2275414677</v>
      </c>
      <c r="S204" s="130">
        <v>2457053074</v>
      </c>
      <c r="T204" s="130">
        <v>2464779225</v>
      </c>
      <c r="U204" s="130">
        <v>2320230279</v>
      </c>
      <c r="V204" s="130">
        <v>1889867127</v>
      </c>
      <c r="W204" s="130">
        <v>1920990307</v>
      </c>
      <c r="X204" s="130">
        <v>2010011326</v>
      </c>
      <c r="Y204" s="130">
        <v>2013193756</v>
      </c>
      <c r="Z204" s="130">
        <v>2121704358</v>
      </c>
      <c r="AA204" s="130">
        <v>1931279659</v>
      </c>
      <c r="AB204" s="130">
        <v>2203603193</v>
      </c>
      <c r="AC204" s="130">
        <v>2643381141</v>
      </c>
      <c r="AD204" s="130">
        <v>2708184517</v>
      </c>
      <c r="AE204" s="56">
        <v>2202122856</v>
      </c>
      <c r="AF204" s="56"/>
      <c r="AG204" s="56"/>
      <c r="AH204" s="56"/>
      <c r="AI204" s="56"/>
    </row>
    <row r="205" spans="1:35" x14ac:dyDescent="0.35">
      <c r="B205" s="64">
        <f>+'Option inputs'!$B$22</f>
        <v>8</v>
      </c>
      <c r="C205" s="122" t="str">
        <f>'Option inputs'!$C$22</f>
        <v>Option 3B</v>
      </c>
      <c r="D205" s="119"/>
      <c r="E205" s="68" t="s">
        <v>35</v>
      </c>
      <c r="F205" s="130"/>
      <c r="G205" s="130">
        <v>3046376424</v>
      </c>
      <c r="H205" s="130">
        <v>2890556969</v>
      </c>
      <c r="I205" s="130">
        <v>2780651881</v>
      </c>
      <c r="J205" s="130">
        <v>2757496348</v>
      </c>
      <c r="K205" s="130">
        <v>2736188785</v>
      </c>
      <c r="L205" s="130">
        <v>2658667631</v>
      </c>
      <c r="M205" s="130">
        <v>2566166224</v>
      </c>
      <c r="N205" s="130">
        <v>2605604978</v>
      </c>
      <c r="O205" s="130">
        <v>2631709843</v>
      </c>
      <c r="P205" s="130">
        <v>2648468504</v>
      </c>
      <c r="Q205" s="130">
        <v>2700013700</v>
      </c>
      <c r="R205" s="130">
        <v>2318842306</v>
      </c>
      <c r="S205" s="130">
        <v>2486916927</v>
      </c>
      <c r="T205" s="130">
        <v>2477948800</v>
      </c>
      <c r="U205" s="130">
        <v>2341369210</v>
      </c>
      <c r="V205" s="130">
        <v>1865385338</v>
      </c>
      <c r="W205" s="130">
        <v>1884498743</v>
      </c>
      <c r="X205" s="130">
        <v>1851424914</v>
      </c>
      <c r="Y205" s="130">
        <v>1854394224</v>
      </c>
      <c r="Z205" s="130">
        <v>1949839660</v>
      </c>
      <c r="AA205" s="130">
        <v>1768261478</v>
      </c>
      <c r="AB205" s="130">
        <v>2039497035</v>
      </c>
      <c r="AC205" s="130">
        <v>2470505782</v>
      </c>
      <c r="AD205" s="130">
        <v>2538382494</v>
      </c>
      <c r="AE205" s="56">
        <v>2024297215</v>
      </c>
      <c r="AF205" s="56"/>
      <c r="AG205" s="56"/>
      <c r="AH205" s="56"/>
      <c r="AI205" s="56"/>
    </row>
    <row r="206" spans="1:35" x14ac:dyDescent="0.35">
      <c r="B206" s="64">
        <f>+'Option inputs'!$B$23</f>
        <v>9</v>
      </c>
      <c r="C206" s="122" t="str">
        <f>'Option inputs'!$C$23</f>
        <v>Option 3C</v>
      </c>
      <c r="D206" s="119"/>
      <c r="E206" s="68" t="s">
        <v>35</v>
      </c>
      <c r="F206" s="130"/>
      <c r="G206" s="130">
        <v>3046380122</v>
      </c>
      <c r="H206" s="130">
        <v>2890560671</v>
      </c>
      <c r="I206" s="130">
        <v>2780656629</v>
      </c>
      <c r="J206" s="130">
        <v>2777936537</v>
      </c>
      <c r="K206" s="130">
        <v>2754800509</v>
      </c>
      <c r="L206" s="130">
        <v>2676172959</v>
      </c>
      <c r="M206" s="130">
        <v>2583498960</v>
      </c>
      <c r="N206" s="130">
        <v>2624905258</v>
      </c>
      <c r="O206" s="130">
        <v>2646037064</v>
      </c>
      <c r="P206" s="130">
        <v>2648592059</v>
      </c>
      <c r="Q206" s="130">
        <v>2700040910</v>
      </c>
      <c r="R206" s="130">
        <v>2318850842</v>
      </c>
      <c r="S206" s="130">
        <v>2486944498</v>
      </c>
      <c r="T206" s="130">
        <v>2477958801</v>
      </c>
      <c r="U206" s="130">
        <v>2341390247</v>
      </c>
      <c r="V206" s="130">
        <v>1865385242</v>
      </c>
      <c r="W206" s="130">
        <v>1884502024</v>
      </c>
      <c r="X206" s="130">
        <v>1851426608</v>
      </c>
      <c r="Y206" s="130">
        <v>1854416543</v>
      </c>
      <c r="Z206" s="130">
        <v>1949856870</v>
      </c>
      <c r="AA206" s="130">
        <v>1768276266</v>
      </c>
      <c r="AB206" s="130">
        <v>2039508388</v>
      </c>
      <c r="AC206" s="130">
        <v>2470525073</v>
      </c>
      <c r="AD206" s="130">
        <v>2538396626</v>
      </c>
      <c r="AE206" s="56">
        <v>2024296488</v>
      </c>
      <c r="AF206" s="56"/>
      <c r="AG206" s="56"/>
      <c r="AH206" s="56"/>
      <c r="AI206" s="56"/>
    </row>
    <row r="207" spans="1:35" x14ac:dyDescent="0.35">
      <c r="B207" s="64">
        <f>+'Option inputs'!$B$24</f>
        <v>10</v>
      </c>
      <c r="C207" s="122" t="str">
        <f>'Option inputs'!$C$24</f>
        <v>Option 4A</v>
      </c>
      <c r="D207" s="119"/>
      <c r="E207" s="68" t="s">
        <v>35</v>
      </c>
      <c r="F207" s="130"/>
      <c r="G207" s="130">
        <v>3046379252</v>
      </c>
      <c r="H207" s="130">
        <v>2890559852</v>
      </c>
      <c r="I207" s="130">
        <v>2780655265</v>
      </c>
      <c r="J207" s="130">
        <v>2756970932</v>
      </c>
      <c r="K207" s="130">
        <v>2739023432</v>
      </c>
      <c r="L207" s="130">
        <v>2659248054</v>
      </c>
      <c r="M207" s="130">
        <v>2567332334</v>
      </c>
      <c r="N207" s="130">
        <v>2606080651</v>
      </c>
      <c r="O207" s="130">
        <v>2630773778</v>
      </c>
      <c r="P207" s="130">
        <v>2609064873</v>
      </c>
      <c r="Q207" s="130">
        <v>2682076357</v>
      </c>
      <c r="R207" s="130">
        <v>2274866263</v>
      </c>
      <c r="S207" s="130">
        <v>2459715296</v>
      </c>
      <c r="T207" s="130">
        <v>2466595410</v>
      </c>
      <c r="U207" s="130">
        <v>2317982023</v>
      </c>
      <c r="V207" s="130">
        <v>1884317568</v>
      </c>
      <c r="W207" s="130">
        <v>1912532769</v>
      </c>
      <c r="X207" s="130">
        <v>1961009055</v>
      </c>
      <c r="Y207" s="130">
        <v>1964796140</v>
      </c>
      <c r="Z207" s="130">
        <v>2079457721</v>
      </c>
      <c r="AA207" s="130">
        <v>1892277018</v>
      </c>
      <c r="AB207" s="130">
        <v>2163324590</v>
      </c>
      <c r="AC207" s="130">
        <v>2602278702</v>
      </c>
      <c r="AD207" s="130">
        <v>2670970753</v>
      </c>
      <c r="AE207" s="56">
        <v>2166738803</v>
      </c>
      <c r="AF207" s="56"/>
      <c r="AG207" s="56"/>
      <c r="AH207" s="56"/>
      <c r="AI207" s="56"/>
    </row>
    <row r="208" spans="1:35" x14ac:dyDescent="0.35">
      <c r="B208" s="64">
        <f>+'Option inputs'!$B$25</f>
        <v>11</v>
      </c>
      <c r="C208" s="122" t="str">
        <f>'Option inputs'!$C$25</f>
        <v>Option 4B</v>
      </c>
      <c r="D208" s="119"/>
      <c r="E208" s="68" t="s">
        <v>35</v>
      </c>
      <c r="F208" s="130"/>
      <c r="G208" s="130">
        <v>3046380019</v>
      </c>
      <c r="H208" s="130">
        <v>2890560549</v>
      </c>
      <c r="I208" s="130">
        <v>2780656008</v>
      </c>
      <c r="J208" s="130">
        <v>2762075186</v>
      </c>
      <c r="K208" s="130">
        <v>2740566773</v>
      </c>
      <c r="L208" s="130">
        <v>2660521719</v>
      </c>
      <c r="M208" s="130">
        <v>2567435127</v>
      </c>
      <c r="N208" s="130">
        <v>2606931223</v>
      </c>
      <c r="O208" s="130">
        <v>2632499960</v>
      </c>
      <c r="P208" s="130">
        <v>2656432192</v>
      </c>
      <c r="Q208" s="130">
        <v>2688893442</v>
      </c>
      <c r="R208" s="130">
        <v>2336493546</v>
      </c>
      <c r="S208" s="130">
        <v>2501385779</v>
      </c>
      <c r="T208" s="130">
        <v>2493300128</v>
      </c>
      <c r="U208" s="130">
        <v>2374369850</v>
      </c>
      <c r="V208" s="130">
        <v>1856431515</v>
      </c>
      <c r="W208" s="130">
        <v>1873798698</v>
      </c>
      <c r="X208" s="130">
        <v>1828778596</v>
      </c>
      <c r="Y208" s="130">
        <v>1828710288</v>
      </c>
      <c r="Z208" s="130">
        <v>1919000913</v>
      </c>
      <c r="AA208" s="130">
        <v>1732342613</v>
      </c>
      <c r="AB208" s="130">
        <v>2000821287</v>
      </c>
      <c r="AC208" s="130">
        <v>2421664297</v>
      </c>
      <c r="AD208" s="130">
        <v>2485504627</v>
      </c>
      <c r="AE208" s="56">
        <v>1971082994</v>
      </c>
      <c r="AF208" s="56"/>
      <c r="AG208" s="56"/>
      <c r="AH208" s="56"/>
      <c r="AI208" s="56"/>
    </row>
    <row r="209" spans="2:35" x14ac:dyDescent="0.35">
      <c r="B209" s="64">
        <f>+'Option inputs'!$B$26</f>
        <v>12</v>
      </c>
      <c r="C209" s="122" t="str">
        <f>'Option inputs'!$C$26</f>
        <v>Option 4C</v>
      </c>
      <c r="D209" s="119"/>
      <c r="E209" s="68" t="s">
        <v>35</v>
      </c>
      <c r="F209" s="130"/>
      <c r="G209" s="130">
        <v>3046367428</v>
      </c>
      <c r="H209" s="130">
        <v>2890548187</v>
      </c>
      <c r="I209" s="130">
        <v>2780641711</v>
      </c>
      <c r="J209" s="130">
        <v>2777918242</v>
      </c>
      <c r="K209" s="130">
        <v>2754752553</v>
      </c>
      <c r="L209" s="130">
        <v>2673639341</v>
      </c>
      <c r="M209" s="130">
        <v>2580175836</v>
      </c>
      <c r="N209" s="130">
        <v>2621251851</v>
      </c>
      <c r="O209" s="130">
        <v>2643168771</v>
      </c>
      <c r="P209" s="130">
        <v>2671437259</v>
      </c>
      <c r="Q209" s="130">
        <v>2689201301</v>
      </c>
      <c r="R209" s="130">
        <v>2336681030</v>
      </c>
      <c r="S209" s="130">
        <v>2501459544</v>
      </c>
      <c r="T209" s="130">
        <v>2493361986</v>
      </c>
      <c r="U209" s="130">
        <v>2374397221</v>
      </c>
      <c r="V209" s="130">
        <v>1856543233</v>
      </c>
      <c r="W209" s="130">
        <v>1873810603</v>
      </c>
      <c r="X209" s="130">
        <v>1828568404</v>
      </c>
      <c r="Y209" s="130">
        <v>1829137726</v>
      </c>
      <c r="Z209" s="130">
        <v>1919134718</v>
      </c>
      <c r="AA209" s="130">
        <v>1732497849</v>
      </c>
      <c r="AB209" s="130">
        <v>2000999475</v>
      </c>
      <c r="AC209" s="130">
        <v>2421825912</v>
      </c>
      <c r="AD209" s="130">
        <v>2485532419</v>
      </c>
      <c r="AE209" s="56">
        <v>1971275596</v>
      </c>
      <c r="AF209" s="56"/>
      <c r="AG209" s="56"/>
      <c r="AH209" s="56"/>
      <c r="AI209" s="56"/>
    </row>
    <row r="210" spans="2:35" x14ac:dyDescent="0.35">
      <c r="D210" s="70"/>
      <c r="E210" s="66"/>
      <c r="AF210" s="46"/>
      <c r="AG210" s="46"/>
      <c r="AH210" s="46"/>
      <c r="AI210" s="46"/>
    </row>
    <row r="211" spans="2:35" x14ac:dyDescent="0.35">
      <c r="B211" s="59" t="s">
        <v>14</v>
      </c>
      <c r="C211" s="59" t="s">
        <v>13</v>
      </c>
      <c r="D211" s="80" t="str">
        <f>'Interface and charts'!$J$6</f>
        <v>Step change</v>
      </c>
      <c r="E211" s="63" t="s">
        <v>7</v>
      </c>
      <c r="F211" s="171" t="str">
        <f>Calculation!G$56</f>
        <v>FY 2019-20</v>
      </c>
      <c r="G211" s="171" t="str">
        <f>Calculation!H$56</f>
        <v>FY 2020-21</v>
      </c>
      <c r="H211" s="171" t="str">
        <f>Calculation!I$56</f>
        <v>FY 2021-22</v>
      </c>
      <c r="I211" s="171" t="str">
        <f>Calculation!J$56</f>
        <v>FY 2022-23</v>
      </c>
      <c r="J211" s="171" t="str">
        <f>Calculation!K$56</f>
        <v>FY 2023-24</v>
      </c>
      <c r="K211" s="171" t="str">
        <f>Calculation!L$56</f>
        <v>FY 2024-25</v>
      </c>
      <c r="L211" s="171" t="str">
        <f>Calculation!M$56</f>
        <v>FY 2025-26</v>
      </c>
      <c r="M211" s="171" t="str">
        <f>Calculation!N$56</f>
        <v>FY 2026-27</v>
      </c>
      <c r="N211" s="171" t="str">
        <f>Calculation!O$56</f>
        <v>FY 2027-28</v>
      </c>
      <c r="O211" s="171" t="str">
        <f>Calculation!P$56</f>
        <v>FY 2028-29</v>
      </c>
      <c r="P211" s="171" t="str">
        <f>Calculation!Q$56</f>
        <v>FY 2029-30</v>
      </c>
      <c r="Q211" s="171" t="str">
        <f>Calculation!R$56</f>
        <v>FY 2030-31</v>
      </c>
      <c r="R211" s="171" t="str">
        <f>Calculation!S$56</f>
        <v>FY 2031-32</v>
      </c>
      <c r="S211" s="171" t="str">
        <f>Calculation!T$56</f>
        <v>FY 2032-33</v>
      </c>
      <c r="T211" s="171" t="str">
        <f>Calculation!U$56</f>
        <v>FY 2033-34</v>
      </c>
      <c r="U211" s="171" t="str">
        <f>Calculation!V$56</f>
        <v>FY 2034-35</v>
      </c>
      <c r="V211" s="171" t="str">
        <f>Calculation!W$56</f>
        <v>FY 2035-36</v>
      </c>
      <c r="W211" s="171" t="str">
        <f>Calculation!X$56</f>
        <v>FY 2036-37</v>
      </c>
      <c r="X211" s="171" t="str">
        <f>Calculation!Y$56</f>
        <v>FY 2037-38</v>
      </c>
      <c r="Y211" s="171" t="str">
        <f>Calculation!Z$56</f>
        <v>FY 2038-39</v>
      </c>
      <c r="Z211" s="171" t="str">
        <f>Calculation!AA$56</f>
        <v>FY 2039-40</v>
      </c>
      <c r="AA211" s="171" t="str">
        <f>Calculation!AB$56</f>
        <v>FY 2040-41</v>
      </c>
      <c r="AB211" s="171" t="str">
        <f>Calculation!AC$56</f>
        <v>FY 2041-42</v>
      </c>
      <c r="AC211" s="171" t="str">
        <f>Calculation!AD$56</f>
        <v>FY 2042-43</v>
      </c>
      <c r="AD211" s="171" t="str">
        <f>Calculation!AE$56</f>
        <v>FY 2043-44</v>
      </c>
      <c r="AE211" s="171" t="str">
        <f>Calculation!AF$56</f>
        <v>FY 2044-45</v>
      </c>
      <c r="AF211" s="171" t="str">
        <f>Calculation!AG$56</f>
        <v>FY 2045-46</v>
      </c>
      <c r="AG211" s="171" t="str">
        <f>Calculation!AH$56</f>
        <v>FY 2046-47</v>
      </c>
      <c r="AH211" s="171" t="str">
        <f>Calculation!AI$56</f>
        <v>FY 2047-48</v>
      </c>
      <c r="AI211" s="171" t="str">
        <f>Calculation!AJ$56</f>
        <v>FY 2048-49</v>
      </c>
    </row>
    <row r="212" spans="2:35" x14ac:dyDescent="0.35">
      <c r="B212" s="9">
        <v>0</v>
      </c>
      <c r="C212" s="123" t="str">
        <f>'Option inputs'!$C$14</f>
        <v>Base case</v>
      </c>
      <c r="D212" s="62"/>
      <c r="E212" s="68" t="s">
        <v>35</v>
      </c>
      <c r="F212" s="151"/>
      <c r="G212" s="151">
        <v>3053013981</v>
      </c>
      <c r="H212" s="151">
        <v>2857717403</v>
      </c>
      <c r="I212" s="151">
        <v>2707965989</v>
      </c>
      <c r="J212" s="151">
        <v>2610802939</v>
      </c>
      <c r="K212" s="151">
        <v>2557369994</v>
      </c>
      <c r="L212" s="151">
        <v>2465486012</v>
      </c>
      <c r="M212" s="151">
        <v>2225230158</v>
      </c>
      <c r="N212" s="151">
        <v>2145897389</v>
      </c>
      <c r="O212" s="151">
        <v>2025748074</v>
      </c>
      <c r="P212" s="151">
        <v>1903213877</v>
      </c>
      <c r="Q212" s="151">
        <v>1894441659</v>
      </c>
      <c r="R212" s="151">
        <v>1924587149</v>
      </c>
      <c r="S212" s="151">
        <v>2004855714</v>
      </c>
      <c r="T212" s="151">
        <v>1714847724</v>
      </c>
      <c r="U212" s="151">
        <v>1591441486</v>
      </c>
      <c r="V212" s="151">
        <v>1645754532</v>
      </c>
      <c r="W212" s="151">
        <v>1660147645</v>
      </c>
      <c r="X212" s="151">
        <v>2150348314</v>
      </c>
      <c r="Y212" s="151">
        <v>2209043665</v>
      </c>
      <c r="Z212" s="151">
        <v>2269663784</v>
      </c>
      <c r="AA212" s="151">
        <v>1984438322</v>
      </c>
      <c r="AB212" s="151">
        <v>1780155773</v>
      </c>
      <c r="AC212" s="151">
        <v>2400261129</v>
      </c>
      <c r="AD212" s="151">
        <v>2620888815</v>
      </c>
      <c r="AE212" s="151">
        <v>2228018738</v>
      </c>
      <c r="AF212" s="151"/>
      <c r="AG212" s="151"/>
      <c r="AH212" s="151"/>
      <c r="AI212" s="151"/>
    </row>
    <row r="213" spans="2:35" x14ac:dyDescent="0.35">
      <c r="B213" s="9">
        <v>1</v>
      </c>
      <c r="C213" s="122" t="str">
        <f>'Option inputs'!$C$15</f>
        <v>Option 1A</v>
      </c>
      <c r="D213" s="62"/>
      <c r="E213" s="68" t="s">
        <v>35</v>
      </c>
      <c r="F213" s="151"/>
      <c r="G213" s="151">
        <v>3052999986</v>
      </c>
      <c r="H213" s="151">
        <v>2857703523</v>
      </c>
      <c r="I213" s="151">
        <v>2707950244</v>
      </c>
      <c r="J213" s="151">
        <v>2610791770</v>
      </c>
      <c r="K213" s="151">
        <v>2559235146</v>
      </c>
      <c r="L213" s="151">
        <v>2462840393</v>
      </c>
      <c r="M213" s="151">
        <v>2227626041</v>
      </c>
      <c r="N213" s="151">
        <v>2151524430</v>
      </c>
      <c r="O213" s="151">
        <v>2031440419</v>
      </c>
      <c r="P213" s="151">
        <v>1906671272</v>
      </c>
      <c r="Q213" s="151">
        <v>1904527679</v>
      </c>
      <c r="R213" s="151">
        <v>1928098101</v>
      </c>
      <c r="S213" s="151">
        <v>2018953950</v>
      </c>
      <c r="T213" s="151">
        <v>1704742496</v>
      </c>
      <c r="U213" s="151">
        <v>1579776236</v>
      </c>
      <c r="V213" s="151">
        <v>1613916302</v>
      </c>
      <c r="W213" s="151">
        <v>1627352705</v>
      </c>
      <c r="X213" s="151">
        <v>2066333711</v>
      </c>
      <c r="Y213" s="151">
        <v>2118629599</v>
      </c>
      <c r="Z213" s="151">
        <v>2199311475</v>
      </c>
      <c r="AA213" s="151">
        <v>1919112033</v>
      </c>
      <c r="AB213" s="151">
        <v>1682161234</v>
      </c>
      <c r="AC213" s="151">
        <v>2341380850</v>
      </c>
      <c r="AD213" s="151">
        <v>2570654249</v>
      </c>
      <c r="AE213" s="151">
        <v>2170161652</v>
      </c>
      <c r="AF213" s="151"/>
      <c r="AG213" s="151"/>
      <c r="AH213" s="151"/>
      <c r="AI213" s="151"/>
    </row>
    <row r="214" spans="2:35" x14ac:dyDescent="0.35">
      <c r="B214" s="9">
        <v>2</v>
      </c>
      <c r="C214" s="122" t="str">
        <f>'Option inputs'!$C$16</f>
        <v>Option 1B</v>
      </c>
      <c r="D214" s="62"/>
      <c r="E214" s="68" t="s">
        <v>35</v>
      </c>
      <c r="F214" s="151"/>
      <c r="G214" s="151">
        <v>3053002773</v>
      </c>
      <c r="H214" s="151">
        <v>2857706161</v>
      </c>
      <c r="I214" s="151">
        <v>2707953297</v>
      </c>
      <c r="J214" s="151">
        <v>2610807576</v>
      </c>
      <c r="K214" s="151">
        <v>2558777144</v>
      </c>
      <c r="L214" s="151">
        <v>2456545305</v>
      </c>
      <c r="M214" s="151">
        <v>2236494051</v>
      </c>
      <c r="N214" s="151">
        <v>2157820864</v>
      </c>
      <c r="O214" s="151">
        <v>2035664537</v>
      </c>
      <c r="P214" s="151">
        <v>1905449880</v>
      </c>
      <c r="Q214" s="151">
        <v>1909767890</v>
      </c>
      <c r="R214" s="151">
        <v>1930879238</v>
      </c>
      <c r="S214" s="151">
        <v>2025676794</v>
      </c>
      <c r="T214" s="151">
        <v>1696713626</v>
      </c>
      <c r="U214" s="151">
        <v>1576519375</v>
      </c>
      <c r="V214" s="151">
        <v>1606639416</v>
      </c>
      <c r="W214" s="151">
        <v>1628827540</v>
      </c>
      <c r="X214" s="151">
        <v>2004824046</v>
      </c>
      <c r="Y214" s="151">
        <v>2081292909</v>
      </c>
      <c r="Z214" s="151">
        <v>2121659141</v>
      </c>
      <c r="AA214" s="151">
        <v>1866076932</v>
      </c>
      <c r="AB214" s="151">
        <v>1605572830</v>
      </c>
      <c r="AC214" s="151">
        <v>2308368410</v>
      </c>
      <c r="AD214" s="151">
        <v>2536092279</v>
      </c>
      <c r="AE214" s="151">
        <v>2135409142</v>
      </c>
      <c r="AF214" s="151"/>
      <c r="AG214" s="151"/>
      <c r="AH214" s="151"/>
      <c r="AI214" s="151"/>
    </row>
    <row r="215" spans="2:35" x14ac:dyDescent="0.35">
      <c r="B215" s="9">
        <v>3</v>
      </c>
      <c r="C215" s="122" t="str">
        <f>'Option inputs'!$C$17</f>
        <v>Option 1C</v>
      </c>
      <c r="D215" s="62"/>
      <c r="E215" s="68" t="s">
        <v>35</v>
      </c>
      <c r="F215" s="151"/>
      <c r="G215" s="151">
        <v>3053001890</v>
      </c>
      <c r="H215" s="151">
        <v>2857705229</v>
      </c>
      <c r="I215" s="151">
        <v>2707952223</v>
      </c>
      <c r="J215" s="151">
        <v>2610810844</v>
      </c>
      <c r="K215" s="151">
        <v>2555741174</v>
      </c>
      <c r="L215" s="151">
        <v>2445825519</v>
      </c>
      <c r="M215" s="151">
        <v>2236700201</v>
      </c>
      <c r="N215" s="151">
        <v>2158094483</v>
      </c>
      <c r="O215" s="151">
        <v>2035627220</v>
      </c>
      <c r="P215" s="151">
        <v>1905520765</v>
      </c>
      <c r="Q215" s="151">
        <v>1909749989</v>
      </c>
      <c r="R215" s="151">
        <v>1930803229</v>
      </c>
      <c r="S215" s="151">
        <v>2025614181</v>
      </c>
      <c r="T215" s="151">
        <v>1696687913</v>
      </c>
      <c r="U215" s="151">
        <v>1576505739</v>
      </c>
      <c r="V215" s="151">
        <v>1606591753</v>
      </c>
      <c r="W215" s="151">
        <v>1628820154</v>
      </c>
      <c r="X215" s="151">
        <v>2004821495</v>
      </c>
      <c r="Y215" s="151">
        <v>2081295922</v>
      </c>
      <c r="Z215" s="151">
        <v>2121654766</v>
      </c>
      <c r="AA215" s="151">
        <v>1866077289</v>
      </c>
      <c r="AB215" s="151">
        <v>1605572146</v>
      </c>
      <c r="AC215" s="151">
        <v>2308368720</v>
      </c>
      <c r="AD215" s="151">
        <v>2536095477</v>
      </c>
      <c r="AE215" s="151">
        <v>2135412551</v>
      </c>
      <c r="AF215" s="151"/>
      <c r="AG215" s="151"/>
      <c r="AH215" s="151"/>
      <c r="AI215" s="151"/>
    </row>
    <row r="216" spans="2:35" x14ac:dyDescent="0.35">
      <c r="B216" s="9">
        <v>4</v>
      </c>
      <c r="C216" s="122" t="str">
        <f>'Option inputs'!$C$18</f>
        <v>Option 2A</v>
      </c>
      <c r="D216" s="62"/>
      <c r="E216" s="68" t="s">
        <v>35</v>
      </c>
      <c r="F216" s="151"/>
      <c r="G216" s="151">
        <v>3053000261</v>
      </c>
      <c r="H216" s="151">
        <v>2857703823</v>
      </c>
      <c r="I216" s="151">
        <v>2707950566</v>
      </c>
      <c r="J216" s="151">
        <v>2610808554</v>
      </c>
      <c r="K216" s="151">
        <v>2564062399</v>
      </c>
      <c r="L216" s="151">
        <v>2452208527</v>
      </c>
      <c r="M216" s="151">
        <v>2209343006</v>
      </c>
      <c r="N216" s="151">
        <v>2144034232</v>
      </c>
      <c r="O216" s="151">
        <v>2026159875</v>
      </c>
      <c r="P216" s="151">
        <v>1909336123</v>
      </c>
      <c r="Q216" s="151">
        <v>1902119830</v>
      </c>
      <c r="R216" s="151">
        <v>1897073812</v>
      </c>
      <c r="S216" s="151">
        <v>1955935122</v>
      </c>
      <c r="T216" s="151">
        <v>1673788424</v>
      </c>
      <c r="U216" s="151">
        <v>1562856499</v>
      </c>
      <c r="V216" s="151">
        <v>1559033351</v>
      </c>
      <c r="W216" s="151">
        <v>1552063623</v>
      </c>
      <c r="X216" s="151">
        <v>1684296144</v>
      </c>
      <c r="Y216" s="151">
        <v>1815168784</v>
      </c>
      <c r="Z216" s="151">
        <v>1945937815</v>
      </c>
      <c r="AA216" s="151">
        <v>1661958579</v>
      </c>
      <c r="AB216" s="151">
        <v>1433172497</v>
      </c>
      <c r="AC216" s="151">
        <v>2111737933</v>
      </c>
      <c r="AD216" s="151">
        <v>2317731164</v>
      </c>
      <c r="AE216" s="151">
        <v>1899649640</v>
      </c>
      <c r="AF216" s="151"/>
      <c r="AG216" s="151"/>
      <c r="AH216" s="151"/>
      <c r="AI216" s="151"/>
    </row>
    <row r="217" spans="2:35" x14ac:dyDescent="0.35">
      <c r="B217" s="9">
        <v>5</v>
      </c>
      <c r="C217" s="122" t="str">
        <f>'Option inputs'!$C$19</f>
        <v>Option 2B</v>
      </c>
      <c r="D217" s="62"/>
      <c r="E217" s="68" t="s">
        <v>35</v>
      </c>
      <c r="F217" s="151"/>
      <c r="G217" s="151">
        <v>3053016694</v>
      </c>
      <c r="H217" s="151">
        <v>2857720181</v>
      </c>
      <c r="I217" s="151">
        <v>2707969524</v>
      </c>
      <c r="J217" s="151">
        <v>2610817020</v>
      </c>
      <c r="K217" s="151">
        <v>2562486456</v>
      </c>
      <c r="L217" s="151">
        <v>2449810502</v>
      </c>
      <c r="M217" s="151">
        <v>2214253570</v>
      </c>
      <c r="N217" s="151">
        <v>2148589171</v>
      </c>
      <c r="O217" s="151">
        <v>2027347719</v>
      </c>
      <c r="P217" s="151">
        <v>1901851964</v>
      </c>
      <c r="Q217" s="151">
        <v>1912997295</v>
      </c>
      <c r="R217" s="151">
        <v>1903236797</v>
      </c>
      <c r="S217" s="151">
        <v>1980206569</v>
      </c>
      <c r="T217" s="151">
        <v>1674977567</v>
      </c>
      <c r="U217" s="151">
        <v>1562770457</v>
      </c>
      <c r="V217" s="151">
        <v>1560167699</v>
      </c>
      <c r="W217" s="151">
        <v>1554384712</v>
      </c>
      <c r="X217" s="151">
        <v>1618410805</v>
      </c>
      <c r="Y217" s="151">
        <v>1739856554</v>
      </c>
      <c r="Z217" s="151">
        <v>1807092338</v>
      </c>
      <c r="AA217" s="151">
        <v>1590624575</v>
      </c>
      <c r="AB217" s="151">
        <v>1350873300</v>
      </c>
      <c r="AC217" s="151">
        <v>2069453794</v>
      </c>
      <c r="AD217" s="151">
        <v>2228544109</v>
      </c>
      <c r="AE217" s="151">
        <v>1821401330</v>
      </c>
      <c r="AF217" s="151"/>
      <c r="AG217" s="151"/>
      <c r="AH217" s="151"/>
      <c r="AI217" s="151"/>
    </row>
    <row r="218" spans="2:35" x14ac:dyDescent="0.35">
      <c r="B218" s="9">
        <v>6</v>
      </c>
      <c r="C218" s="122" t="str">
        <f>'Option inputs'!$C$20</f>
        <v>Option 2C</v>
      </c>
      <c r="D218" s="62"/>
      <c r="E218" s="68" t="s">
        <v>35</v>
      </c>
      <c r="F218" s="151"/>
      <c r="G218" s="151">
        <v>3053018846</v>
      </c>
      <c r="H218" s="151">
        <v>2857722433</v>
      </c>
      <c r="I218" s="151">
        <v>2707972007</v>
      </c>
      <c r="J218" s="151">
        <v>2610831482</v>
      </c>
      <c r="K218" s="151">
        <v>2574483203</v>
      </c>
      <c r="L218" s="151">
        <v>2452089434</v>
      </c>
      <c r="M218" s="151">
        <v>2213859318</v>
      </c>
      <c r="N218" s="151">
        <v>2148561302</v>
      </c>
      <c r="O218" s="151">
        <v>2027173901</v>
      </c>
      <c r="P218" s="151">
        <v>1901846474</v>
      </c>
      <c r="Q218" s="151">
        <v>1913013162</v>
      </c>
      <c r="R218" s="151">
        <v>1903213845</v>
      </c>
      <c r="S218" s="151">
        <v>1980153751</v>
      </c>
      <c r="T218" s="151">
        <v>1674948508</v>
      </c>
      <c r="U218" s="151">
        <v>1562771114</v>
      </c>
      <c r="V218" s="151">
        <v>1560165729</v>
      </c>
      <c r="W218" s="151">
        <v>1554394589</v>
      </c>
      <c r="X218" s="151">
        <v>1618426839</v>
      </c>
      <c r="Y218" s="151">
        <v>1739857272</v>
      </c>
      <c r="Z218" s="151">
        <v>1807099206</v>
      </c>
      <c r="AA218" s="151">
        <v>1590626750</v>
      </c>
      <c r="AB218" s="151">
        <v>1350885133</v>
      </c>
      <c r="AC218" s="151">
        <v>2069455784</v>
      </c>
      <c r="AD218" s="151">
        <v>2228537757</v>
      </c>
      <c r="AE218" s="151">
        <v>1821385115</v>
      </c>
      <c r="AF218" s="151"/>
      <c r="AG218" s="151"/>
      <c r="AH218" s="151"/>
      <c r="AI218" s="151"/>
    </row>
    <row r="219" spans="2:35" x14ac:dyDescent="0.35">
      <c r="B219" s="9">
        <v>7</v>
      </c>
      <c r="C219" s="122" t="str">
        <f>'Option inputs'!$C$21</f>
        <v>Option 3A</v>
      </c>
      <c r="D219" s="62"/>
      <c r="E219" s="68" t="s">
        <v>35</v>
      </c>
      <c r="F219" s="130"/>
      <c r="G219" s="130">
        <v>3053002811</v>
      </c>
      <c r="H219" s="151">
        <v>2857705937</v>
      </c>
      <c r="I219" s="151">
        <v>2707953062</v>
      </c>
      <c r="J219" s="151">
        <v>2610815196</v>
      </c>
      <c r="K219" s="151">
        <v>2565946644</v>
      </c>
      <c r="L219" s="151">
        <v>2458789212</v>
      </c>
      <c r="M219" s="151">
        <v>2206760319</v>
      </c>
      <c r="N219" s="151">
        <v>2140690687</v>
      </c>
      <c r="O219" s="151">
        <v>2022316252</v>
      </c>
      <c r="P219" s="151">
        <v>1904609649</v>
      </c>
      <c r="Q219" s="151">
        <v>1897763369</v>
      </c>
      <c r="R219" s="151">
        <v>1886226109</v>
      </c>
      <c r="S219" s="151">
        <v>1954334428</v>
      </c>
      <c r="T219" s="151">
        <v>1672335211</v>
      </c>
      <c r="U219" s="151">
        <v>1554519061</v>
      </c>
      <c r="V219" s="151">
        <v>1560676818</v>
      </c>
      <c r="W219" s="151">
        <v>1553061304</v>
      </c>
      <c r="X219" s="151">
        <v>1751846503</v>
      </c>
      <c r="Y219" s="151">
        <v>1867340576</v>
      </c>
      <c r="Z219" s="151">
        <v>1985238605</v>
      </c>
      <c r="AA219" s="151">
        <v>1691528024</v>
      </c>
      <c r="AB219" s="151">
        <v>1474722996</v>
      </c>
      <c r="AC219" s="151">
        <v>2142447479</v>
      </c>
      <c r="AD219" s="151">
        <v>2359445263</v>
      </c>
      <c r="AE219" s="151">
        <v>1937209938</v>
      </c>
      <c r="AF219" s="151"/>
      <c r="AG219" s="151"/>
      <c r="AH219" s="151"/>
      <c r="AI219" s="151"/>
    </row>
    <row r="220" spans="2:35" x14ac:dyDescent="0.35">
      <c r="B220" s="64">
        <f>+'Option inputs'!$B$22</f>
        <v>8</v>
      </c>
      <c r="C220" s="122" t="str">
        <f>'Option inputs'!$C$22</f>
        <v>Option 3B</v>
      </c>
      <c r="D220" s="62"/>
      <c r="E220" s="68" t="s">
        <v>35</v>
      </c>
      <c r="F220" s="130"/>
      <c r="G220" s="130">
        <v>3053008468</v>
      </c>
      <c r="H220" s="151">
        <v>2857711769</v>
      </c>
      <c r="I220" s="151">
        <v>2707959680</v>
      </c>
      <c r="J220" s="151">
        <v>2610807647</v>
      </c>
      <c r="K220" s="151">
        <v>2554541034</v>
      </c>
      <c r="L220" s="151">
        <v>2444740689</v>
      </c>
      <c r="M220" s="151">
        <v>2214755752</v>
      </c>
      <c r="N220" s="151">
        <v>2149104399</v>
      </c>
      <c r="O220" s="151">
        <v>2027675214</v>
      </c>
      <c r="P220" s="151">
        <v>1901789181</v>
      </c>
      <c r="Q220" s="151">
        <v>1910894985</v>
      </c>
      <c r="R220" s="151">
        <v>1899106182</v>
      </c>
      <c r="S220" s="151">
        <v>1980007476</v>
      </c>
      <c r="T220" s="151">
        <v>1673096143</v>
      </c>
      <c r="U220" s="151">
        <v>1561301180</v>
      </c>
      <c r="V220" s="151">
        <v>1559441767</v>
      </c>
      <c r="W220" s="151">
        <v>1554341233</v>
      </c>
      <c r="X220" s="151">
        <v>1613718847</v>
      </c>
      <c r="Y220" s="151">
        <v>1736002514</v>
      </c>
      <c r="Z220" s="151">
        <v>1804117966</v>
      </c>
      <c r="AA220" s="151">
        <v>1586799442</v>
      </c>
      <c r="AB220" s="151">
        <v>1348048160</v>
      </c>
      <c r="AC220" s="151">
        <v>2070056577</v>
      </c>
      <c r="AD220" s="151">
        <v>2226429449</v>
      </c>
      <c r="AE220" s="151">
        <v>1815842381</v>
      </c>
      <c r="AF220" s="151"/>
      <c r="AG220" s="151"/>
      <c r="AH220" s="151"/>
      <c r="AI220" s="151"/>
    </row>
    <row r="221" spans="2:35" x14ac:dyDescent="0.35">
      <c r="B221" s="64">
        <f>+'Option inputs'!$B$23</f>
        <v>9</v>
      </c>
      <c r="C221" s="122" t="str">
        <f>'Option inputs'!$C$23</f>
        <v>Option 3C</v>
      </c>
      <c r="D221" s="62"/>
      <c r="E221" s="68" t="s">
        <v>35</v>
      </c>
      <c r="F221" s="130"/>
      <c r="G221" s="130">
        <v>3053018086</v>
      </c>
      <c r="H221" s="151">
        <v>2857721647</v>
      </c>
      <c r="I221" s="151">
        <v>2707970874</v>
      </c>
      <c r="J221" s="151">
        <v>2610827065</v>
      </c>
      <c r="K221" s="151">
        <v>2567777462</v>
      </c>
      <c r="L221" s="151">
        <v>2450984722</v>
      </c>
      <c r="M221" s="151">
        <v>2214286458</v>
      </c>
      <c r="N221" s="151">
        <v>2149266294</v>
      </c>
      <c r="O221" s="151">
        <v>2027436176</v>
      </c>
      <c r="P221" s="151">
        <v>1901763627</v>
      </c>
      <c r="Q221" s="151">
        <v>1910924078</v>
      </c>
      <c r="R221" s="151">
        <v>1899055156</v>
      </c>
      <c r="S221" s="151">
        <v>1980019772</v>
      </c>
      <c r="T221" s="151">
        <v>1673058518</v>
      </c>
      <c r="U221" s="151">
        <v>1561336216</v>
      </c>
      <c r="V221" s="151">
        <v>1559401392</v>
      </c>
      <c r="W221" s="151">
        <v>1554333894</v>
      </c>
      <c r="X221" s="151">
        <v>1613733522</v>
      </c>
      <c r="Y221" s="151">
        <v>1736022556</v>
      </c>
      <c r="Z221" s="151">
        <v>1804118980</v>
      </c>
      <c r="AA221" s="151">
        <v>1586806897</v>
      </c>
      <c r="AB221" s="151">
        <v>1348068504</v>
      </c>
      <c r="AC221" s="151">
        <v>2070060077</v>
      </c>
      <c r="AD221" s="151">
        <v>2226484413</v>
      </c>
      <c r="AE221" s="151">
        <v>1815864973</v>
      </c>
      <c r="AF221" s="151"/>
      <c r="AG221" s="151"/>
      <c r="AH221" s="151"/>
      <c r="AI221" s="151"/>
    </row>
    <row r="222" spans="2:35" x14ac:dyDescent="0.35">
      <c r="B222" s="64">
        <f>+'Option inputs'!$B$24</f>
        <v>10</v>
      </c>
      <c r="C222" s="122" t="str">
        <f>'Option inputs'!$C$24</f>
        <v>Option 4A</v>
      </c>
      <c r="D222" s="62"/>
      <c r="E222" s="68" t="s">
        <v>35</v>
      </c>
      <c r="F222" s="130"/>
      <c r="G222" s="130">
        <v>3052999905</v>
      </c>
      <c r="H222" s="151">
        <v>2857703362</v>
      </c>
      <c r="I222" s="151">
        <v>2707950045</v>
      </c>
      <c r="J222" s="151">
        <v>2610800989</v>
      </c>
      <c r="K222" s="151">
        <v>2564473513</v>
      </c>
      <c r="L222" s="151">
        <v>2456068374</v>
      </c>
      <c r="M222" s="151">
        <v>2206796967</v>
      </c>
      <c r="N222" s="151">
        <v>2140011483</v>
      </c>
      <c r="O222" s="151">
        <v>2020396144</v>
      </c>
      <c r="P222" s="151">
        <v>1902543340</v>
      </c>
      <c r="Q222" s="151">
        <v>1896330534</v>
      </c>
      <c r="R222" s="151">
        <v>1883708548</v>
      </c>
      <c r="S222" s="151">
        <v>1954365447</v>
      </c>
      <c r="T222" s="151">
        <v>1670640111</v>
      </c>
      <c r="U222" s="151">
        <v>1552421685</v>
      </c>
      <c r="V222" s="151">
        <v>1554227447</v>
      </c>
      <c r="W222" s="151">
        <v>1548046760</v>
      </c>
      <c r="X222" s="151">
        <v>1704406552</v>
      </c>
      <c r="Y222" s="151">
        <v>1820501412</v>
      </c>
      <c r="Z222" s="151">
        <v>1952915575</v>
      </c>
      <c r="AA222" s="151">
        <v>1666595338</v>
      </c>
      <c r="AB222" s="151">
        <v>1443922841</v>
      </c>
      <c r="AC222" s="151">
        <v>2119385781</v>
      </c>
      <c r="AD222" s="151">
        <v>2329968898</v>
      </c>
      <c r="AE222" s="151">
        <v>1902474463</v>
      </c>
      <c r="AF222" s="151"/>
      <c r="AG222" s="151"/>
      <c r="AH222" s="151"/>
      <c r="AI222" s="151"/>
    </row>
    <row r="223" spans="2:35" x14ac:dyDescent="0.35">
      <c r="B223" s="64">
        <f>+'Option inputs'!$B$25</f>
        <v>11</v>
      </c>
      <c r="C223" s="122" t="str">
        <f>'Option inputs'!$C$25</f>
        <v>Option 4B</v>
      </c>
      <c r="D223" s="62"/>
      <c r="E223" s="68" t="s">
        <v>35</v>
      </c>
      <c r="F223" s="130"/>
      <c r="G223" s="130">
        <v>3053002588</v>
      </c>
      <c r="H223" s="151">
        <v>2857705726</v>
      </c>
      <c r="I223" s="151">
        <v>2707952779</v>
      </c>
      <c r="J223" s="151">
        <v>2610803310</v>
      </c>
      <c r="K223" s="151">
        <v>2554355171</v>
      </c>
      <c r="L223" s="151">
        <v>2440577095</v>
      </c>
      <c r="M223" s="151">
        <v>2214558358</v>
      </c>
      <c r="N223" s="151">
        <v>2146060950</v>
      </c>
      <c r="O223" s="151">
        <v>2024144360</v>
      </c>
      <c r="P223" s="151">
        <v>1898460410</v>
      </c>
      <c r="Q223" s="151">
        <v>1919392765</v>
      </c>
      <c r="R223" s="151">
        <v>1918447892</v>
      </c>
      <c r="S223" s="151">
        <v>1996474576</v>
      </c>
      <c r="T223" s="151">
        <v>1680569085</v>
      </c>
      <c r="U223" s="151">
        <v>1567081254</v>
      </c>
      <c r="V223" s="151">
        <v>1557938553</v>
      </c>
      <c r="W223" s="151">
        <v>1559222915</v>
      </c>
      <c r="X223" s="151">
        <v>1595494770</v>
      </c>
      <c r="Y223" s="151">
        <v>1711999324</v>
      </c>
      <c r="Z223" s="151">
        <v>1773721369</v>
      </c>
      <c r="AA223" s="151">
        <v>1560854853</v>
      </c>
      <c r="AB223" s="151">
        <v>1334587135</v>
      </c>
      <c r="AC223" s="151">
        <v>2049882748</v>
      </c>
      <c r="AD223" s="151">
        <v>2186687944</v>
      </c>
      <c r="AE223" s="151">
        <v>1780183574</v>
      </c>
      <c r="AF223" s="151"/>
      <c r="AG223" s="151"/>
      <c r="AH223" s="151"/>
      <c r="AI223" s="151"/>
    </row>
    <row r="224" spans="2:35" x14ac:dyDescent="0.35">
      <c r="B224" s="64">
        <f>+'Option inputs'!$B$26</f>
        <v>12</v>
      </c>
      <c r="C224" s="122" t="str">
        <f>'Option inputs'!$C$26</f>
        <v>Option 4C</v>
      </c>
      <c r="D224" s="62"/>
      <c r="E224" s="68" t="s">
        <v>35</v>
      </c>
      <c r="F224" s="130"/>
      <c r="G224" s="130">
        <v>3053009748</v>
      </c>
      <c r="H224" s="151">
        <v>2857713025</v>
      </c>
      <c r="I224" s="151">
        <v>2707961256</v>
      </c>
      <c r="J224" s="151">
        <v>2610822081</v>
      </c>
      <c r="K224" s="151">
        <v>2568595418</v>
      </c>
      <c r="L224" s="151">
        <v>2447289892</v>
      </c>
      <c r="M224" s="151">
        <v>2214456535</v>
      </c>
      <c r="N224" s="151">
        <v>2146269918</v>
      </c>
      <c r="O224" s="151">
        <v>2024006555</v>
      </c>
      <c r="P224" s="151">
        <v>1898473036</v>
      </c>
      <c r="Q224" s="151">
        <v>1919393014</v>
      </c>
      <c r="R224" s="151">
        <v>1918432080</v>
      </c>
      <c r="S224" s="151">
        <v>1996419398</v>
      </c>
      <c r="T224" s="151">
        <v>1680555823</v>
      </c>
      <c r="U224" s="151">
        <v>1567090533</v>
      </c>
      <c r="V224" s="151">
        <v>1557895135</v>
      </c>
      <c r="W224" s="151">
        <v>1559186262</v>
      </c>
      <c r="X224" s="151">
        <v>1595502988</v>
      </c>
      <c r="Y224" s="151">
        <v>1712026099</v>
      </c>
      <c r="Z224" s="151">
        <v>1773754461</v>
      </c>
      <c r="AA224" s="151">
        <v>1560869871</v>
      </c>
      <c r="AB224" s="151">
        <v>1334580563</v>
      </c>
      <c r="AC224" s="151">
        <v>2049882730</v>
      </c>
      <c r="AD224" s="151">
        <v>2186591922</v>
      </c>
      <c r="AE224" s="151">
        <v>1780028732</v>
      </c>
      <c r="AF224" s="151"/>
      <c r="AG224" s="151"/>
      <c r="AH224" s="151"/>
      <c r="AI224" s="151"/>
    </row>
    <row r="225" spans="2:63" x14ac:dyDescent="0.35">
      <c r="E225" s="66"/>
      <c r="AF225" s="46"/>
      <c r="AG225" s="46"/>
      <c r="AH225" s="46"/>
      <c r="AI225" s="46"/>
    </row>
    <row r="226" spans="2:63" x14ac:dyDescent="0.35">
      <c r="B226" s="59" t="s">
        <v>14</v>
      </c>
      <c r="C226" s="59" t="s">
        <v>13</v>
      </c>
      <c r="D226" s="59" t="str">
        <f>'Interface and charts'!$K$6</f>
        <v>Slow change</v>
      </c>
      <c r="E226" s="63" t="s">
        <v>7</v>
      </c>
      <c r="F226" s="171" t="str">
        <f>Calculation!G$56</f>
        <v>FY 2019-20</v>
      </c>
      <c r="G226" s="171" t="str">
        <f>Calculation!H$56</f>
        <v>FY 2020-21</v>
      </c>
      <c r="H226" s="171" t="str">
        <f>Calculation!I$56</f>
        <v>FY 2021-22</v>
      </c>
      <c r="I226" s="171" t="str">
        <f>Calculation!J$56</f>
        <v>FY 2022-23</v>
      </c>
      <c r="J226" s="171" t="str">
        <f>Calculation!K$56</f>
        <v>FY 2023-24</v>
      </c>
      <c r="K226" s="171" t="str">
        <f>Calculation!L$56</f>
        <v>FY 2024-25</v>
      </c>
      <c r="L226" s="171" t="str">
        <f>Calculation!M$56</f>
        <v>FY 2025-26</v>
      </c>
      <c r="M226" s="171" t="str">
        <f>Calculation!N$56</f>
        <v>FY 2026-27</v>
      </c>
      <c r="N226" s="171" t="str">
        <f>Calculation!O$56</f>
        <v>FY 2027-28</v>
      </c>
      <c r="O226" s="171" t="str">
        <f>Calculation!P$56</f>
        <v>FY 2028-29</v>
      </c>
      <c r="P226" s="171" t="str">
        <f>Calculation!Q$56</f>
        <v>FY 2029-30</v>
      </c>
      <c r="Q226" s="171" t="str">
        <f>Calculation!R$56</f>
        <v>FY 2030-31</v>
      </c>
      <c r="R226" s="171" t="str">
        <f>Calculation!S$56</f>
        <v>FY 2031-32</v>
      </c>
      <c r="S226" s="171" t="str">
        <f>Calculation!T$56</f>
        <v>FY 2032-33</v>
      </c>
      <c r="T226" s="171" t="str">
        <f>Calculation!U$56</f>
        <v>FY 2033-34</v>
      </c>
      <c r="U226" s="171" t="str">
        <f>Calculation!V$56</f>
        <v>FY 2034-35</v>
      </c>
      <c r="V226" s="171" t="str">
        <f>Calculation!W$56</f>
        <v>FY 2035-36</v>
      </c>
      <c r="W226" s="171" t="str">
        <f>Calculation!X$56</f>
        <v>FY 2036-37</v>
      </c>
      <c r="X226" s="171" t="str">
        <f>Calculation!Y$56</f>
        <v>FY 2037-38</v>
      </c>
      <c r="Y226" s="171" t="str">
        <f>Calculation!Z$56</f>
        <v>FY 2038-39</v>
      </c>
      <c r="Z226" s="171" t="str">
        <f>Calculation!AA$56</f>
        <v>FY 2039-40</v>
      </c>
      <c r="AA226" s="171" t="str">
        <f>Calculation!AB$56</f>
        <v>FY 2040-41</v>
      </c>
      <c r="AB226" s="171" t="str">
        <f>Calculation!AC$56</f>
        <v>FY 2041-42</v>
      </c>
      <c r="AC226" s="171" t="str">
        <f>Calculation!AD$56</f>
        <v>FY 2042-43</v>
      </c>
      <c r="AD226" s="171" t="str">
        <f>Calculation!AE$56</f>
        <v>FY 2043-44</v>
      </c>
      <c r="AE226" s="171" t="str">
        <f>Calculation!AF$56</f>
        <v>FY 2044-45</v>
      </c>
      <c r="AF226" s="171" t="str">
        <f>Calculation!AG$56</f>
        <v>FY 2045-46</v>
      </c>
      <c r="AG226" s="171" t="str">
        <f>Calculation!AH$56</f>
        <v>FY 2046-47</v>
      </c>
      <c r="AH226" s="171" t="str">
        <f>Calculation!AI$56</f>
        <v>FY 2047-48</v>
      </c>
      <c r="AI226" s="171" t="str">
        <f>Calculation!AJ$56</f>
        <v>FY 2048-49</v>
      </c>
    </row>
    <row r="227" spans="2:63" x14ac:dyDescent="0.35">
      <c r="B227" s="9">
        <v>0</v>
      </c>
      <c r="C227" s="123" t="str">
        <f>'Option inputs'!$C$14</f>
        <v>Base case</v>
      </c>
      <c r="D227" s="62"/>
      <c r="E227" s="68" t="s">
        <v>35</v>
      </c>
      <c r="F227" s="151"/>
      <c r="G227" s="151">
        <v>2811412103</v>
      </c>
      <c r="H227" s="151">
        <v>2621073415</v>
      </c>
      <c r="I227" s="151">
        <v>2492992486</v>
      </c>
      <c r="J227" s="151">
        <v>2397602484</v>
      </c>
      <c r="K227" s="151">
        <v>2385539286</v>
      </c>
      <c r="L227" s="151">
        <v>2349735547</v>
      </c>
      <c r="M227" s="151">
        <v>2292812699</v>
      </c>
      <c r="N227" s="151">
        <v>2333582958</v>
      </c>
      <c r="O227" s="151">
        <v>2373354148</v>
      </c>
      <c r="P227" s="151">
        <v>2000337263</v>
      </c>
      <c r="Q227" s="151">
        <v>2054990833</v>
      </c>
      <c r="R227" s="151">
        <v>1906310381</v>
      </c>
      <c r="S227" s="151">
        <v>2056540658</v>
      </c>
      <c r="T227" s="151">
        <v>2119903018</v>
      </c>
      <c r="U227" s="151">
        <v>2125961373</v>
      </c>
      <c r="V227" s="151">
        <v>1930667003</v>
      </c>
      <c r="W227" s="151">
        <v>1776541302</v>
      </c>
      <c r="X227" s="151">
        <v>1733619544</v>
      </c>
      <c r="Y227" s="151">
        <v>1695381163</v>
      </c>
      <c r="Z227" s="151">
        <v>1670309656</v>
      </c>
      <c r="AA227" s="151">
        <v>1615189343</v>
      </c>
      <c r="AB227" s="151">
        <v>1608501223</v>
      </c>
      <c r="AC227" s="151">
        <v>1498498923</v>
      </c>
      <c r="AD227" s="151">
        <v>1555932561</v>
      </c>
      <c r="AE227" s="151">
        <v>1213605089</v>
      </c>
      <c r="AF227" s="151"/>
      <c r="AG227" s="151"/>
      <c r="AH227" s="151"/>
      <c r="AI227" s="151"/>
    </row>
    <row r="228" spans="2:63" x14ac:dyDescent="0.35">
      <c r="B228" s="9">
        <v>1</v>
      </c>
      <c r="C228" s="122" t="str">
        <f>'Option inputs'!$C$15</f>
        <v>Option 1A</v>
      </c>
      <c r="D228" s="62"/>
      <c r="E228" s="68" t="s">
        <v>35</v>
      </c>
      <c r="F228" s="151"/>
      <c r="G228" s="151">
        <v>2813578687</v>
      </c>
      <c r="H228" s="151">
        <v>2623110923</v>
      </c>
      <c r="I228" s="151">
        <v>2495054246</v>
      </c>
      <c r="J228" s="151">
        <v>2399840026</v>
      </c>
      <c r="K228" s="151">
        <v>2387001485</v>
      </c>
      <c r="L228" s="151">
        <v>2348242423</v>
      </c>
      <c r="M228" s="151">
        <v>2292017897</v>
      </c>
      <c r="N228" s="151">
        <v>2333703895</v>
      </c>
      <c r="O228" s="151">
        <v>2370763809</v>
      </c>
      <c r="P228" s="151">
        <v>2000827486</v>
      </c>
      <c r="Q228" s="151">
        <v>2057577926</v>
      </c>
      <c r="R228" s="151">
        <v>1908140290</v>
      </c>
      <c r="S228" s="151">
        <v>2059526303</v>
      </c>
      <c r="T228" s="151">
        <v>2122532566</v>
      </c>
      <c r="U228" s="151">
        <v>2128398491</v>
      </c>
      <c r="V228" s="151">
        <v>1928849080</v>
      </c>
      <c r="W228" s="151">
        <v>1762600086</v>
      </c>
      <c r="X228" s="151">
        <v>1731946735</v>
      </c>
      <c r="Y228" s="151">
        <v>1693369730</v>
      </c>
      <c r="Z228" s="151">
        <v>1662332507</v>
      </c>
      <c r="AA228" s="151">
        <v>1606757282</v>
      </c>
      <c r="AB228" s="151">
        <v>1585487512</v>
      </c>
      <c r="AC228" s="151">
        <v>1461593949</v>
      </c>
      <c r="AD228" s="151">
        <v>1527448160</v>
      </c>
      <c r="AE228" s="151">
        <v>1191972559</v>
      </c>
      <c r="AF228" s="151"/>
      <c r="AG228" s="151"/>
      <c r="AH228" s="151"/>
      <c r="AI228" s="151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  <c r="AX228" s="102"/>
      <c r="AY228" s="102"/>
      <c r="AZ228" s="102"/>
      <c r="BA228" s="102"/>
      <c r="BB228" s="102"/>
      <c r="BC228" s="102"/>
      <c r="BD228" s="102"/>
      <c r="BE228" s="102"/>
      <c r="BF228" s="102"/>
      <c r="BG228" s="102"/>
      <c r="BH228" s="102"/>
      <c r="BI228" s="102"/>
      <c r="BJ228" s="102"/>
      <c r="BK228" s="102"/>
    </row>
    <row r="229" spans="2:63" x14ac:dyDescent="0.35">
      <c r="B229" s="9">
        <v>2</v>
      </c>
      <c r="C229" s="122" t="str">
        <f>'Option inputs'!$C$16</f>
        <v>Option 1B</v>
      </c>
      <c r="D229" s="62"/>
      <c r="E229" s="68" t="s">
        <v>35</v>
      </c>
      <c r="F229" s="151"/>
      <c r="G229" s="151">
        <v>2813153382</v>
      </c>
      <c r="H229" s="151">
        <v>2622711351</v>
      </c>
      <c r="I229" s="151">
        <v>2494658408</v>
      </c>
      <c r="J229" s="151">
        <v>2399465762</v>
      </c>
      <c r="K229" s="151">
        <v>2383956081</v>
      </c>
      <c r="L229" s="151">
        <v>2345037893</v>
      </c>
      <c r="M229" s="151">
        <v>2288348756</v>
      </c>
      <c r="N229" s="151">
        <v>2330197524</v>
      </c>
      <c r="O229" s="151">
        <v>2366625999</v>
      </c>
      <c r="P229" s="151">
        <v>1998256933</v>
      </c>
      <c r="Q229" s="151">
        <v>2055975398</v>
      </c>
      <c r="R229" s="151">
        <v>1904666138</v>
      </c>
      <c r="S229" s="151">
        <v>2057694539</v>
      </c>
      <c r="T229" s="151">
        <v>2120471512</v>
      </c>
      <c r="U229" s="151">
        <v>2126150261</v>
      </c>
      <c r="V229" s="151">
        <v>1928567037</v>
      </c>
      <c r="W229" s="151">
        <v>1776083792</v>
      </c>
      <c r="X229" s="151">
        <v>1736694047</v>
      </c>
      <c r="Y229" s="151">
        <v>1701569125</v>
      </c>
      <c r="Z229" s="151">
        <v>1663144993</v>
      </c>
      <c r="AA229" s="151">
        <v>1599792920</v>
      </c>
      <c r="AB229" s="151">
        <v>1568041281</v>
      </c>
      <c r="AC229" s="151">
        <v>1403247622</v>
      </c>
      <c r="AD229" s="151">
        <v>1479977217</v>
      </c>
      <c r="AE229" s="151">
        <v>1148701097</v>
      </c>
      <c r="AF229" s="151"/>
      <c r="AG229" s="151"/>
      <c r="AH229" s="151"/>
      <c r="AI229" s="151"/>
      <c r="AM229" s="102"/>
      <c r="AN229" s="102"/>
      <c r="AO229" s="102"/>
      <c r="AP229" s="102"/>
      <c r="AQ229" s="102"/>
      <c r="AR229" s="102"/>
      <c r="AS229" s="102"/>
      <c r="AT229" s="102"/>
      <c r="AU229" s="102"/>
      <c r="AV229" s="102"/>
      <c r="AW229" s="102"/>
      <c r="AX229" s="102"/>
      <c r="AY229" s="102"/>
      <c r="AZ229" s="102"/>
      <c r="BA229" s="102"/>
      <c r="BB229" s="102"/>
      <c r="BC229" s="102"/>
      <c r="BD229" s="102"/>
      <c r="BE229" s="102"/>
      <c r="BF229" s="102"/>
      <c r="BG229" s="102"/>
      <c r="BH229" s="102"/>
      <c r="BI229" s="102"/>
      <c r="BJ229" s="102"/>
      <c r="BK229" s="102"/>
    </row>
    <row r="230" spans="2:63" x14ac:dyDescent="0.35">
      <c r="B230" s="9">
        <v>3</v>
      </c>
      <c r="C230" s="122" t="str">
        <f>'Option inputs'!$C$17</f>
        <v>Option 1C</v>
      </c>
      <c r="D230" s="62"/>
      <c r="E230" s="68" t="s">
        <v>35</v>
      </c>
      <c r="F230" s="151"/>
      <c r="G230" s="151">
        <v>2811750350</v>
      </c>
      <c r="H230" s="151">
        <v>2621390594</v>
      </c>
      <c r="I230" s="151">
        <v>2493299784</v>
      </c>
      <c r="J230" s="151">
        <v>2398199348</v>
      </c>
      <c r="K230" s="151">
        <v>2382348966</v>
      </c>
      <c r="L230" s="151">
        <v>2341575931</v>
      </c>
      <c r="M230" s="151">
        <v>2284238168</v>
      </c>
      <c r="N230" s="151">
        <v>2326501746</v>
      </c>
      <c r="O230" s="151">
        <v>2363363937</v>
      </c>
      <c r="P230" s="151">
        <v>1995953198</v>
      </c>
      <c r="Q230" s="151">
        <v>2054466156</v>
      </c>
      <c r="R230" s="151">
        <v>1901478525</v>
      </c>
      <c r="S230" s="151">
        <v>2055175393</v>
      </c>
      <c r="T230" s="151">
        <v>2118038256</v>
      </c>
      <c r="U230" s="151">
        <v>2123015270</v>
      </c>
      <c r="V230" s="151">
        <v>1928593736</v>
      </c>
      <c r="W230" s="151">
        <v>1776100437</v>
      </c>
      <c r="X230" s="151">
        <v>1736686623</v>
      </c>
      <c r="Y230" s="151">
        <v>1701557838</v>
      </c>
      <c r="Z230" s="151">
        <v>1663135810</v>
      </c>
      <c r="AA230" s="151">
        <v>1599778883</v>
      </c>
      <c r="AB230" s="151">
        <v>1568033449</v>
      </c>
      <c r="AC230" s="151">
        <v>1403239314</v>
      </c>
      <c r="AD230" s="151">
        <v>1479971319</v>
      </c>
      <c r="AE230" s="151">
        <v>1148701781</v>
      </c>
      <c r="AF230" s="151"/>
      <c r="AG230" s="151"/>
      <c r="AH230" s="151"/>
      <c r="AI230" s="151"/>
      <c r="AM230" s="102"/>
      <c r="AN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  <c r="AX230" s="102"/>
      <c r="AY230" s="102"/>
      <c r="AZ230" s="102"/>
      <c r="BA230" s="102"/>
      <c r="BB230" s="102"/>
      <c r="BC230" s="102"/>
      <c r="BD230" s="102"/>
      <c r="BE230" s="102"/>
      <c r="BF230" s="102"/>
      <c r="BG230" s="102"/>
      <c r="BH230" s="102"/>
      <c r="BI230" s="102"/>
      <c r="BJ230" s="102"/>
      <c r="BK230" s="102"/>
    </row>
    <row r="231" spans="2:63" x14ac:dyDescent="0.35">
      <c r="B231" s="9">
        <v>4</v>
      </c>
      <c r="C231" s="122" t="str">
        <f>'Option inputs'!$C$18</f>
        <v>Option 2A</v>
      </c>
      <c r="D231" s="62"/>
      <c r="E231" s="68" t="s">
        <v>35</v>
      </c>
      <c r="F231" s="151"/>
      <c r="G231" s="151">
        <v>2818067406</v>
      </c>
      <c r="H231" s="151">
        <v>2627434172</v>
      </c>
      <c r="I231" s="151">
        <v>2499237544</v>
      </c>
      <c r="J231" s="151">
        <v>2404213077</v>
      </c>
      <c r="K231" s="151">
        <v>2387132040</v>
      </c>
      <c r="L231" s="151">
        <v>2349262124</v>
      </c>
      <c r="M231" s="151">
        <v>2291629471</v>
      </c>
      <c r="N231" s="151">
        <v>2333839306</v>
      </c>
      <c r="O231" s="151">
        <v>2371394324</v>
      </c>
      <c r="P231" s="151">
        <v>2002051334</v>
      </c>
      <c r="Q231" s="151">
        <v>2055333007</v>
      </c>
      <c r="R231" s="151">
        <v>1909143967</v>
      </c>
      <c r="S231" s="151">
        <v>2059996594</v>
      </c>
      <c r="T231" s="151">
        <v>2124432749</v>
      </c>
      <c r="U231" s="151">
        <v>2129711109</v>
      </c>
      <c r="V231" s="151">
        <v>1941054751</v>
      </c>
      <c r="W231" s="151">
        <v>1772452502</v>
      </c>
      <c r="X231" s="151">
        <v>1710303588</v>
      </c>
      <c r="Y231" s="151">
        <v>1682184722</v>
      </c>
      <c r="Z231" s="151">
        <v>1647390865</v>
      </c>
      <c r="AA231" s="151">
        <v>1597643949</v>
      </c>
      <c r="AB231" s="151">
        <v>1578956827</v>
      </c>
      <c r="AC231" s="151">
        <v>1410615313</v>
      </c>
      <c r="AD231" s="151">
        <v>1487935508</v>
      </c>
      <c r="AE231" s="151">
        <v>1150692416</v>
      </c>
      <c r="AF231" s="151"/>
      <c r="AG231" s="151"/>
      <c r="AH231" s="151"/>
      <c r="AI231" s="151"/>
      <c r="AM231" s="102"/>
      <c r="AN231" s="102"/>
      <c r="AO231" s="102"/>
      <c r="AP231" s="102"/>
      <c r="AQ231" s="102"/>
      <c r="AR231" s="102"/>
      <c r="AS231" s="102"/>
      <c r="AT231" s="102"/>
      <c r="AU231" s="102"/>
      <c r="AV231" s="102"/>
      <c r="AW231" s="102"/>
      <c r="AX231" s="102"/>
      <c r="AY231" s="102"/>
      <c r="AZ231" s="102"/>
      <c r="BA231" s="102"/>
      <c r="BB231" s="102"/>
      <c r="BC231" s="102"/>
      <c r="BD231" s="102"/>
      <c r="BE231" s="102"/>
      <c r="BF231" s="102"/>
      <c r="BG231" s="102"/>
      <c r="BH231" s="102"/>
      <c r="BI231" s="102"/>
      <c r="BJ231" s="102"/>
      <c r="BK231" s="102"/>
    </row>
    <row r="232" spans="2:63" x14ac:dyDescent="0.35">
      <c r="B232" s="9">
        <v>5</v>
      </c>
      <c r="C232" s="122" t="str">
        <f>'Option inputs'!$C$19</f>
        <v>Option 2B</v>
      </c>
      <c r="D232" s="62"/>
      <c r="E232" s="68" t="s">
        <v>35</v>
      </c>
      <c r="F232" s="151"/>
      <c r="G232" s="151">
        <v>2819982151</v>
      </c>
      <c r="H232" s="151">
        <v>2629281859</v>
      </c>
      <c r="I232" s="151">
        <v>2501093942</v>
      </c>
      <c r="J232" s="151">
        <v>2406039239</v>
      </c>
      <c r="K232" s="151">
        <v>2385159694</v>
      </c>
      <c r="L232" s="151">
        <v>2347151499</v>
      </c>
      <c r="M232" s="151">
        <v>2289221596</v>
      </c>
      <c r="N232" s="151">
        <v>2331319695</v>
      </c>
      <c r="O232" s="151">
        <v>2368554034</v>
      </c>
      <c r="P232" s="151">
        <v>1999934834</v>
      </c>
      <c r="Q232" s="151">
        <v>2056073511</v>
      </c>
      <c r="R232" s="151">
        <v>1905841311</v>
      </c>
      <c r="S232" s="151">
        <v>2059042377</v>
      </c>
      <c r="T232" s="151">
        <v>2123271557</v>
      </c>
      <c r="U232" s="151">
        <v>2127113399</v>
      </c>
      <c r="V232" s="151">
        <v>1926135621</v>
      </c>
      <c r="W232" s="151">
        <v>1767839114</v>
      </c>
      <c r="X232" s="151">
        <v>1709540493</v>
      </c>
      <c r="Y232" s="151">
        <v>1690005327</v>
      </c>
      <c r="Z232" s="151">
        <v>1648136504</v>
      </c>
      <c r="AA232" s="151">
        <v>1598352000</v>
      </c>
      <c r="AB232" s="151">
        <v>1566113483</v>
      </c>
      <c r="AC232" s="151">
        <v>1376918753</v>
      </c>
      <c r="AD232" s="151">
        <v>1438046090</v>
      </c>
      <c r="AE232" s="151">
        <v>1110057153</v>
      </c>
      <c r="AF232" s="151"/>
      <c r="AG232" s="151"/>
      <c r="AH232" s="151"/>
      <c r="AI232" s="151"/>
      <c r="AM232" s="102"/>
      <c r="AN232" s="102"/>
      <c r="AO232" s="102"/>
      <c r="AP232" s="102"/>
      <c r="AQ232" s="102"/>
      <c r="AR232" s="102"/>
      <c r="AS232" s="102"/>
      <c r="AT232" s="102"/>
      <c r="AU232" s="102"/>
      <c r="AV232" s="102"/>
      <c r="AW232" s="102"/>
      <c r="AX232" s="102"/>
      <c r="AY232" s="102"/>
      <c r="AZ232" s="102"/>
      <c r="BA232" s="102"/>
      <c r="BB232" s="102"/>
      <c r="BC232" s="102"/>
      <c r="BD232" s="102"/>
      <c r="BE232" s="102"/>
      <c r="BF232" s="102"/>
      <c r="BG232" s="102"/>
      <c r="BH232" s="102"/>
      <c r="BI232" s="102"/>
      <c r="BJ232" s="102"/>
      <c r="BK232" s="102"/>
    </row>
    <row r="233" spans="2:63" x14ac:dyDescent="0.35">
      <c r="B233" s="9">
        <v>6</v>
      </c>
      <c r="C233" s="122" t="str">
        <f>'Option inputs'!$C$20</f>
        <v>Option 2C</v>
      </c>
      <c r="D233" s="62"/>
      <c r="E233" s="68" t="s">
        <v>35</v>
      </c>
      <c r="F233" s="151"/>
      <c r="G233" s="151">
        <v>2825279445</v>
      </c>
      <c r="H233" s="151">
        <v>2634404947</v>
      </c>
      <c r="I233" s="151">
        <v>2505990901</v>
      </c>
      <c r="J233" s="151">
        <v>2411093439</v>
      </c>
      <c r="K233" s="151">
        <v>2388088400</v>
      </c>
      <c r="L233" s="151">
        <v>2349315650</v>
      </c>
      <c r="M233" s="151">
        <v>2291097664</v>
      </c>
      <c r="N233" s="151">
        <v>2334145409</v>
      </c>
      <c r="O233" s="151">
        <v>2370019049</v>
      </c>
      <c r="P233" s="151">
        <v>2002061681</v>
      </c>
      <c r="Q233" s="151">
        <v>2060090694</v>
      </c>
      <c r="R233" s="151">
        <v>1907863265</v>
      </c>
      <c r="S233" s="151">
        <v>2063366363</v>
      </c>
      <c r="T233" s="151">
        <v>2127005599</v>
      </c>
      <c r="U233" s="151">
        <v>2129246374</v>
      </c>
      <c r="V233" s="151">
        <v>1926235675</v>
      </c>
      <c r="W233" s="151">
        <v>1767804773</v>
      </c>
      <c r="X233" s="151">
        <v>1709540860</v>
      </c>
      <c r="Y233" s="151">
        <v>1690001796</v>
      </c>
      <c r="Z233" s="151">
        <v>1648136774</v>
      </c>
      <c r="AA233" s="151">
        <v>1598351367</v>
      </c>
      <c r="AB233" s="151">
        <v>1566120277</v>
      </c>
      <c r="AC233" s="151">
        <v>1376910176</v>
      </c>
      <c r="AD233" s="151">
        <v>1438040336</v>
      </c>
      <c r="AE233" s="151">
        <v>1110055447</v>
      </c>
      <c r="AF233" s="151"/>
      <c r="AG233" s="151"/>
      <c r="AH233" s="151"/>
      <c r="AI233" s="151"/>
      <c r="AM233" s="102"/>
      <c r="AN233" s="102"/>
      <c r="AO233" s="102"/>
      <c r="AP233" s="102"/>
      <c r="AQ233" s="102"/>
      <c r="AR233" s="102"/>
      <c r="AS233" s="102"/>
      <c r="AT233" s="102"/>
      <c r="AU233" s="102"/>
      <c r="AV233" s="102"/>
      <c r="AW233" s="102"/>
      <c r="AX233" s="102"/>
      <c r="AY233" s="102"/>
      <c r="AZ233" s="102"/>
      <c r="BA233" s="102"/>
      <c r="BB233" s="102"/>
      <c r="BC233" s="102"/>
      <c r="BD233" s="102"/>
      <c r="BE233" s="102"/>
      <c r="BF233" s="102"/>
      <c r="BG233" s="102"/>
      <c r="BH233" s="102"/>
      <c r="BI233" s="102"/>
      <c r="BJ233" s="102"/>
      <c r="BK233" s="102"/>
    </row>
    <row r="234" spans="2:63" x14ac:dyDescent="0.35">
      <c r="B234" s="9">
        <v>7</v>
      </c>
      <c r="C234" s="122" t="str">
        <f>'Option inputs'!$C$21</f>
        <v>Option 3A</v>
      </c>
      <c r="D234" s="62"/>
      <c r="E234" s="68" t="s">
        <v>35</v>
      </c>
      <c r="F234" s="130"/>
      <c r="G234" s="130">
        <v>2813048642</v>
      </c>
      <c r="H234" s="151">
        <v>2622612641</v>
      </c>
      <c r="I234" s="151">
        <v>2494558294</v>
      </c>
      <c r="J234" s="151">
        <v>2399457945</v>
      </c>
      <c r="K234" s="151">
        <v>2383284385</v>
      </c>
      <c r="L234" s="151">
        <v>2346020177</v>
      </c>
      <c r="M234" s="151">
        <v>2288736230</v>
      </c>
      <c r="N234" s="151">
        <v>2329980375</v>
      </c>
      <c r="O234" s="151">
        <v>2367712135</v>
      </c>
      <c r="P234" s="151">
        <v>1998373302</v>
      </c>
      <c r="Q234" s="151">
        <v>2054148035</v>
      </c>
      <c r="R234" s="151">
        <v>1904047887</v>
      </c>
      <c r="S234" s="151">
        <v>2055917738</v>
      </c>
      <c r="T234" s="151">
        <v>2119922868</v>
      </c>
      <c r="U234" s="151">
        <v>2124065254</v>
      </c>
      <c r="V234" s="151">
        <v>1924194850</v>
      </c>
      <c r="W234" s="151">
        <v>1745997294</v>
      </c>
      <c r="X234" s="151">
        <v>1708482724</v>
      </c>
      <c r="Y234" s="151">
        <v>1680559594</v>
      </c>
      <c r="Z234" s="151">
        <v>1646292844</v>
      </c>
      <c r="AA234" s="151">
        <v>1581508727</v>
      </c>
      <c r="AB234" s="151">
        <v>1587070429</v>
      </c>
      <c r="AC234" s="151">
        <v>1431873759</v>
      </c>
      <c r="AD234" s="151">
        <v>1500382630</v>
      </c>
      <c r="AE234" s="151">
        <v>1167208480</v>
      </c>
      <c r="AF234" s="151"/>
      <c r="AG234" s="151"/>
      <c r="AH234" s="151"/>
      <c r="AI234" s="151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  <c r="AX234" s="102"/>
      <c r="AY234" s="102"/>
      <c r="AZ234" s="102"/>
      <c r="BA234" s="102"/>
      <c r="BB234" s="102"/>
      <c r="BC234" s="102"/>
      <c r="BD234" s="102"/>
      <c r="BE234" s="102"/>
      <c r="BF234" s="102"/>
      <c r="BG234" s="102"/>
      <c r="BH234" s="102"/>
      <c r="BI234" s="102"/>
      <c r="BJ234" s="102"/>
      <c r="BK234" s="102"/>
    </row>
    <row r="235" spans="2:63" x14ac:dyDescent="0.35">
      <c r="B235" s="64">
        <f>+'Option inputs'!$B$22</f>
        <v>8</v>
      </c>
      <c r="C235" s="122" t="str">
        <f>'Option inputs'!$C$22</f>
        <v>Option 3B</v>
      </c>
      <c r="D235" s="62"/>
      <c r="E235" s="68" t="s">
        <v>35</v>
      </c>
      <c r="F235" s="130"/>
      <c r="G235" s="130">
        <v>2813988405</v>
      </c>
      <c r="H235" s="151">
        <v>2623497188</v>
      </c>
      <c r="I235" s="151">
        <v>2495516417</v>
      </c>
      <c r="J235" s="151">
        <v>2400324676</v>
      </c>
      <c r="K235" s="151">
        <v>2379932659</v>
      </c>
      <c r="L235" s="151">
        <v>2342710728</v>
      </c>
      <c r="M235" s="151">
        <v>2284681856</v>
      </c>
      <c r="N235" s="151">
        <v>2326062408</v>
      </c>
      <c r="O235" s="151">
        <v>2363631997</v>
      </c>
      <c r="P235" s="151">
        <v>1995525598</v>
      </c>
      <c r="Q235" s="151">
        <v>2052487924</v>
      </c>
      <c r="R235" s="151">
        <v>1900388373</v>
      </c>
      <c r="S235" s="151">
        <v>2053640681</v>
      </c>
      <c r="T235" s="151">
        <v>2117796283</v>
      </c>
      <c r="U235" s="151">
        <v>2121877464</v>
      </c>
      <c r="V235" s="151">
        <v>1924095300</v>
      </c>
      <c r="W235" s="151">
        <v>1772220177</v>
      </c>
      <c r="X235" s="151">
        <v>1709954088</v>
      </c>
      <c r="Y235" s="151">
        <v>1687564736</v>
      </c>
      <c r="Z235" s="151">
        <v>1647677892</v>
      </c>
      <c r="AA235" s="151">
        <v>1594739209</v>
      </c>
      <c r="AB235" s="151">
        <v>1567002849</v>
      </c>
      <c r="AC235" s="151">
        <v>1374390682</v>
      </c>
      <c r="AD235" s="151">
        <v>1436489983</v>
      </c>
      <c r="AE235" s="151">
        <v>1108578146</v>
      </c>
      <c r="AF235" s="151"/>
      <c r="AG235" s="151"/>
      <c r="AH235" s="151"/>
      <c r="AI235" s="151"/>
      <c r="AM235" s="102"/>
      <c r="AN235" s="102"/>
      <c r="AO235" s="102"/>
      <c r="AP235" s="102"/>
      <c r="AQ235" s="102"/>
      <c r="AR235" s="102"/>
      <c r="AS235" s="102"/>
      <c r="AT235" s="102"/>
      <c r="AU235" s="102"/>
      <c r="AV235" s="102"/>
      <c r="AW235" s="102"/>
      <c r="AX235" s="102"/>
      <c r="AY235" s="102"/>
      <c r="AZ235" s="102"/>
      <c r="BA235" s="102"/>
      <c r="BB235" s="102"/>
      <c r="BC235" s="102"/>
      <c r="BD235" s="102"/>
      <c r="BE235" s="102"/>
      <c r="BF235" s="102"/>
      <c r="BG235" s="102"/>
      <c r="BH235" s="102"/>
      <c r="BI235" s="102"/>
      <c r="BJ235" s="102"/>
      <c r="BK235" s="102"/>
    </row>
    <row r="236" spans="2:63" x14ac:dyDescent="0.35">
      <c r="B236" s="64">
        <f>+'Option inputs'!$B$23</f>
        <v>9</v>
      </c>
      <c r="C236" s="122" t="str">
        <f>'Option inputs'!$C$23</f>
        <v>Option 3C</v>
      </c>
      <c r="D236" s="62"/>
      <c r="E236" s="68" t="s">
        <v>35</v>
      </c>
      <c r="F236" s="130"/>
      <c r="G236" s="130">
        <v>2825277664</v>
      </c>
      <c r="H236" s="151">
        <v>2634403216</v>
      </c>
      <c r="I236" s="151">
        <v>2505989301</v>
      </c>
      <c r="J236" s="151">
        <v>2411076261</v>
      </c>
      <c r="K236" s="151">
        <v>2388429876</v>
      </c>
      <c r="L236" s="151">
        <v>2349224395</v>
      </c>
      <c r="M236" s="151">
        <v>2291065137</v>
      </c>
      <c r="N236" s="151">
        <v>2334111765</v>
      </c>
      <c r="O236" s="151">
        <v>2369839408</v>
      </c>
      <c r="P236" s="151">
        <v>2001761562</v>
      </c>
      <c r="Q236" s="151">
        <v>2060972822</v>
      </c>
      <c r="R236" s="151">
        <v>1907240062</v>
      </c>
      <c r="S236" s="151">
        <v>2063655716</v>
      </c>
      <c r="T236" s="151">
        <v>2127015081</v>
      </c>
      <c r="U236" s="151">
        <v>2129125317</v>
      </c>
      <c r="V236" s="151">
        <v>1924166518</v>
      </c>
      <c r="W236" s="151">
        <v>1772239882</v>
      </c>
      <c r="X236" s="151">
        <v>1709931715</v>
      </c>
      <c r="Y236" s="151">
        <v>1687546273</v>
      </c>
      <c r="Z236" s="151">
        <v>1647667334</v>
      </c>
      <c r="AA236" s="151">
        <v>1594738236</v>
      </c>
      <c r="AB236" s="151">
        <v>1566999550</v>
      </c>
      <c r="AC236" s="151">
        <v>1374384266</v>
      </c>
      <c r="AD236" s="151">
        <v>1436482937</v>
      </c>
      <c r="AE236" s="151">
        <v>1108575814</v>
      </c>
      <c r="AF236" s="151"/>
      <c r="AG236" s="151"/>
      <c r="AH236" s="151"/>
      <c r="AI236" s="151"/>
      <c r="AM236" s="102"/>
      <c r="AN236" s="102"/>
      <c r="AO236" s="102"/>
      <c r="AP236" s="102"/>
      <c r="AQ236" s="102"/>
      <c r="AR236" s="102"/>
      <c r="AS236" s="102"/>
      <c r="AT236" s="102"/>
      <c r="AU236" s="102"/>
      <c r="AV236" s="102"/>
      <c r="AW236" s="102"/>
      <c r="AX236" s="102"/>
      <c r="AY236" s="102"/>
      <c r="AZ236" s="102"/>
      <c r="BA236" s="102"/>
      <c r="BB236" s="102"/>
      <c r="BC236" s="102"/>
      <c r="BD236" s="102"/>
      <c r="BE236" s="102"/>
      <c r="BF236" s="102"/>
      <c r="BG236" s="102"/>
      <c r="BH236" s="102"/>
      <c r="BI236" s="102"/>
      <c r="BJ236" s="102"/>
      <c r="BK236" s="102"/>
    </row>
    <row r="237" spans="2:63" x14ac:dyDescent="0.35">
      <c r="B237" s="64">
        <f>+'Option inputs'!$B$24</f>
        <v>10</v>
      </c>
      <c r="C237" s="122" t="str">
        <f>'Option inputs'!$C$24</f>
        <v>Option 4A</v>
      </c>
      <c r="D237" s="62"/>
      <c r="E237" s="68" t="s">
        <v>35</v>
      </c>
      <c r="F237" s="130"/>
      <c r="G237" s="130">
        <v>2813898050</v>
      </c>
      <c r="H237" s="151">
        <v>2623411409</v>
      </c>
      <c r="I237" s="151">
        <v>2495408070</v>
      </c>
      <c r="J237" s="151">
        <v>2400247078</v>
      </c>
      <c r="K237" s="151">
        <v>2384007047</v>
      </c>
      <c r="L237" s="151">
        <v>2343087365</v>
      </c>
      <c r="M237" s="151">
        <v>2285222279</v>
      </c>
      <c r="N237" s="151">
        <v>2326448522</v>
      </c>
      <c r="O237" s="151">
        <v>2364060689</v>
      </c>
      <c r="P237" s="151">
        <v>1996676654</v>
      </c>
      <c r="Q237" s="151">
        <v>2053191992</v>
      </c>
      <c r="R237" s="151">
        <v>1901824179</v>
      </c>
      <c r="S237" s="151">
        <v>2054731416</v>
      </c>
      <c r="T237" s="151">
        <v>2118900992</v>
      </c>
      <c r="U237" s="151">
        <v>2122694388</v>
      </c>
      <c r="V237" s="151">
        <v>1926966288</v>
      </c>
      <c r="W237" s="151">
        <v>1747338452</v>
      </c>
      <c r="X237" s="151">
        <v>1707905350</v>
      </c>
      <c r="Y237" s="151">
        <v>1681438745</v>
      </c>
      <c r="Z237" s="151">
        <v>1642973409</v>
      </c>
      <c r="AA237" s="151">
        <v>1575857808</v>
      </c>
      <c r="AB237" s="151">
        <v>1589792096</v>
      </c>
      <c r="AC237" s="151">
        <v>1408160915</v>
      </c>
      <c r="AD237" s="151">
        <v>1478484300</v>
      </c>
      <c r="AE237" s="151">
        <v>1146221574</v>
      </c>
      <c r="AF237" s="151"/>
      <c r="AG237" s="151"/>
      <c r="AH237" s="151"/>
      <c r="AI237" s="151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  <c r="BG237" s="102"/>
      <c r="BH237" s="102"/>
      <c r="BI237" s="102"/>
      <c r="BJ237" s="102"/>
      <c r="BK237" s="102"/>
    </row>
    <row r="238" spans="2:63" x14ac:dyDescent="0.35">
      <c r="B238" s="64">
        <f>+'Option inputs'!$B$25</f>
        <v>11</v>
      </c>
      <c r="C238" s="122" t="str">
        <f>'Option inputs'!$C$25</f>
        <v>Option 4B</v>
      </c>
      <c r="D238" s="62"/>
      <c r="E238" s="68" t="s">
        <v>35</v>
      </c>
      <c r="F238" s="130"/>
      <c r="G238" s="130">
        <v>2817020575</v>
      </c>
      <c r="H238" s="151">
        <v>2626426015</v>
      </c>
      <c r="I238" s="151">
        <v>2498282824</v>
      </c>
      <c r="J238" s="151">
        <v>2403213216</v>
      </c>
      <c r="K238" s="151">
        <v>2382676424</v>
      </c>
      <c r="L238" s="151">
        <v>2341408397</v>
      </c>
      <c r="M238" s="151">
        <v>2282928360</v>
      </c>
      <c r="N238" s="151">
        <v>2324614032</v>
      </c>
      <c r="O238" s="151">
        <v>2361757277</v>
      </c>
      <c r="P238" s="151">
        <v>1995357963</v>
      </c>
      <c r="Q238" s="151">
        <v>2053413197</v>
      </c>
      <c r="R238" s="151">
        <v>1900019111</v>
      </c>
      <c r="S238" s="151">
        <v>2054584712</v>
      </c>
      <c r="T238" s="151">
        <v>2118866575</v>
      </c>
      <c r="U238" s="151">
        <v>2122669830</v>
      </c>
      <c r="V238" s="151">
        <v>1934962042</v>
      </c>
      <c r="W238" s="151">
        <v>1778181429</v>
      </c>
      <c r="X238" s="151">
        <v>1708153154</v>
      </c>
      <c r="Y238" s="151">
        <v>1696550856</v>
      </c>
      <c r="Z238" s="151">
        <v>1650970659</v>
      </c>
      <c r="AA238" s="151">
        <v>1587454894</v>
      </c>
      <c r="AB238" s="151">
        <v>1569691166</v>
      </c>
      <c r="AC238" s="151">
        <v>1370080244</v>
      </c>
      <c r="AD238" s="151">
        <v>1426373275</v>
      </c>
      <c r="AE238" s="151">
        <v>1099455337</v>
      </c>
      <c r="AF238" s="151"/>
      <c r="AG238" s="151"/>
      <c r="AH238" s="151"/>
      <c r="AI238" s="151"/>
      <c r="AM238" s="102"/>
      <c r="AN238" s="102"/>
      <c r="AO238" s="102"/>
      <c r="AP238" s="102"/>
      <c r="AQ238" s="102"/>
      <c r="AR238" s="102"/>
      <c r="AS238" s="102"/>
      <c r="AT238" s="102"/>
      <c r="AU238" s="102"/>
      <c r="AV238" s="102"/>
      <c r="AW238" s="102"/>
      <c r="AX238" s="102"/>
      <c r="AY238" s="102"/>
      <c r="AZ238" s="102"/>
      <c r="BA238" s="102"/>
      <c r="BB238" s="102"/>
      <c r="BC238" s="102"/>
      <c r="BD238" s="102"/>
      <c r="BE238" s="102"/>
      <c r="BF238" s="102"/>
      <c r="BG238" s="102"/>
      <c r="BH238" s="102"/>
      <c r="BI238" s="102"/>
      <c r="BJ238" s="102"/>
      <c r="BK238" s="102"/>
    </row>
    <row r="239" spans="2:63" x14ac:dyDescent="0.35">
      <c r="B239" s="64">
        <f>+'Option inputs'!$B$26</f>
        <v>12</v>
      </c>
      <c r="C239" s="122" t="str">
        <f>'Option inputs'!$C$26</f>
        <v>Option 4C</v>
      </c>
      <c r="D239" s="62"/>
      <c r="E239" s="68" t="s">
        <v>35</v>
      </c>
      <c r="F239" s="130"/>
      <c r="G239" s="130">
        <v>2826906525</v>
      </c>
      <c r="H239" s="151">
        <v>2635975584</v>
      </c>
      <c r="I239" s="151">
        <v>2507461321</v>
      </c>
      <c r="J239" s="151">
        <v>2412633112</v>
      </c>
      <c r="K239" s="151">
        <v>2389860480</v>
      </c>
      <c r="L239" s="151">
        <v>2346820492</v>
      </c>
      <c r="M239" s="151">
        <v>2288100880</v>
      </c>
      <c r="N239" s="151">
        <v>2331118467</v>
      </c>
      <c r="O239" s="151">
        <v>2366699742</v>
      </c>
      <c r="P239" s="151">
        <v>2000438118</v>
      </c>
      <c r="Q239" s="151">
        <v>2060856154</v>
      </c>
      <c r="R239" s="151">
        <v>1905427778</v>
      </c>
      <c r="S239" s="151">
        <v>2063103756</v>
      </c>
      <c r="T239" s="151">
        <v>2126740859</v>
      </c>
      <c r="U239" s="151">
        <v>2128523201</v>
      </c>
      <c r="V239" s="151">
        <v>1935006972</v>
      </c>
      <c r="W239" s="151">
        <v>1778174862</v>
      </c>
      <c r="X239" s="151">
        <v>1708148053</v>
      </c>
      <c r="Y239" s="151">
        <v>1696554260</v>
      </c>
      <c r="Z239" s="151">
        <v>1650975213</v>
      </c>
      <c r="AA239" s="151">
        <v>1587456148</v>
      </c>
      <c r="AB239" s="151">
        <v>1569687060</v>
      </c>
      <c r="AC239" s="151">
        <v>1370087053</v>
      </c>
      <c r="AD239" s="151">
        <v>1426378193</v>
      </c>
      <c r="AE239" s="151">
        <v>1099459361</v>
      </c>
      <c r="AF239" s="151"/>
      <c r="AG239" s="151"/>
      <c r="AH239" s="151"/>
      <c r="AI239" s="151"/>
      <c r="AM239" s="102"/>
      <c r="AN239" s="102"/>
      <c r="AO239" s="102"/>
      <c r="AP239" s="102"/>
      <c r="AQ239" s="102"/>
      <c r="AR239" s="102"/>
      <c r="AS239" s="102"/>
      <c r="AT239" s="102"/>
      <c r="AU239" s="102"/>
      <c r="AV239" s="102"/>
      <c r="AW239" s="102"/>
      <c r="AX239" s="102"/>
      <c r="AY239" s="102"/>
      <c r="AZ239" s="102"/>
      <c r="BA239" s="102"/>
      <c r="BB239" s="102"/>
      <c r="BC239" s="102"/>
      <c r="BD239" s="102"/>
      <c r="BE239" s="102"/>
      <c r="BF239" s="102"/>
      <c r="BG239" s="102"/>
      <c r="BH239" s="102"/>
      <c r="BI239" s="102"/>
      <c r="BJ239" s="102"/>
      <c r="BK239" s="102"/>
    </row>
    <row r="240" spans="2:63" x14ac:dyDescent="0.35">
      <c r="E240" s="66"/>
      <c r="AF240" s="46"/>
      <c r="AG240" s="46"/>
      <c r="AH240" s="46"/>
      <c r="AI240" s="46"/>
    </row>
    <row r="241" spans="2:35" x14ac:dyDescent="0.35">
      <c r="B241" s="59" t="s">
        <v>14</v>
      </c>
      <c r="C241" s="59" t="s">
        <v>13</v>
      </c>
      <c r="D241" s="59" t="str">
        <f>'Interface and charts'!$L$6</f>
        <v>Fast change</v>
      </c>
      <c r="E241" s="63" t="s">
        <v>7</v>
      </c>
      <c r="F241" s="171" t="str">
        <f>Calculation!G$56</f>
        <v>FY 2019-20</v>
      </c>
      <c r="G241" s="171" t="str">
        <f>Calculation!H$56</f>
        <v>FY 2020-21</v>
      </c>
      <c r="H241" s="171" t="str">
        <f>Calculation!I$56</f>
        <v>FY 2021-22</v>
      </c>
      <c r="I241" s="171" t="str">
        <f>Calculation!J$56</f>
        <v>FY 2022-23</v>
      </c>
      <c r="J241" s="171" t="str">
        <f>Calculation!K$56</f>
        <v>FY 2023-24</v>
      </c>
      <c r="K241" s="171" t="str">
        <f>Calculation!L$56</f>
        <v>FY 2024-25</v>
      </c>
      <c r="L241" s="171" t="str">
        <f>Calculation!M$56</f>
        <v>FY 2025-26</v>
      </c>
      <c r="M241" s="171" t="str">
        <f>Calculation!N$56</f>
        <v>FY 2026-27</v>
      </c>
      <c r="N241" s="171" t="str">
        <f>Calculation!O$56</f>
        <v>FY 2027-28</v>
      </c>
      <c r="O241" s="171" t="str">
        <f>Calculation!P$56</f>
        <v>FY 2028-29</v>
      </c>
      <c r="P241" s="171" t="str">
        <f>Calculation!Q$56</f>
        <v>FY 2029-30</v>
      </c>
      <c r="Q241" s="171" t="str">
        <f>Calculation!R$56</f>
        <v>FY 2030-31</v>
      </c>
      <c r="R241" s="171" t="str">
        <f>Calculation!S$56</f>
        <v>FY 2031-32</v>
      </c>
      <c r="S241" s="171" t="str">
        <f>Calculation!T$56</f>
        <v>FY 2032-33</v>
      </c>
      <c r="T241" s="171" t="str">
        <f>Calculation!U$56</f>
        <v>FY 2033-34</v>
      </c>
      <c r="U241" s="171" t="str">
        <f>Calculation!V$56</f>
        <v>FY 2034-35</v>
      </c>
      <c r="V241" s="171" t="str">
        <f>Calculation!W$56</f>
        <v>FY 2035-36</v>
      </c>
      <c r="W241" s="171" t="str">
        <f>Calculation!X$56</f>
        <v>FY 2036-37</v>
      </c>
      <c r="X241" s="171" t="str">
        <f>Calculation!Y$56</f>
        <v>FY 2037-38</v>
      </c>
      <c r="Y241" s="171" t="str">
        <f>Calculation!Z$56</f>
        <v>FY 2038-39</v>
      </c>
      <c r="Z241" s="171" t="str">
        <f>Calculation!AA$56</f>
        <v>FY 2039-40</v>
      </c>
      <c r="AA241" s="171" t="str">
        <f>Calculation!AB$56</f>
        <v>FY 2040-41</v>
      </c>
      <c r="AB241" s="171" t="str">
        <f>Calculation!AC$56</f>
        <v>FY 2041-42</v>
      </c>
      <c r="AC241" s="171" t="str">
        <f>Calculation!AD$56</f>
        <v>FY 2042-43</v>
      </c>
      <c r="AD241" s="171" t="str">
        <f>Calculation!AE$56</f>
        <v>FY 2043-44</v>
      </c>
      <c r="AE241" s="171" t="str">
        <f>Calculation!AF$56</f>
        <v>FY 2044-45</v>
      </c>
      <c r="AF241" s="171" t="str">
        <f>Calculation!AG$56</f>
        <v>FY 2045-46</v>
      </c>
      <c r="AG241" s="171" t="str">
        <f>Calculation!AH$56</f>
        <v>FY 2046-47</v>
      </c>
      <c r="AH241" s="171" t="str">
        <f>Calculation!AI$56</f>
        <v>FY 2047-48</v>
      </c>
      <c r="AI241" s="171" t="str">
        <f>Calculation!AJ$56</f>
        <v>FY 2048-49</v>
      </c>
    </row>
    <row r="242" spans="2:35" x14ac:dyDescent="0.35">
      <c r="B242" s="9">
        <v>0</v>
      </c>
      <c r="C242" s="123" t="str">
        <f>'Option inputs'!$C$14</f>
        <v>Base case</v>
      </c>
      <c r="D242" s="62"/>
      <c r="E242" s="68" t="s">
        <v>35</v>
      </c>
      <c r="F242" s="151"/>
      <c r="G242" s="151">
        <v>3018161700</v>
      </c>
      <c r="H242" s="151">
        <v>2842703453</v>
      </c>
      <c r="I242" s="151">
        <v>2719485120</v>
      </c>
      <c r="J242" s="151">
        <v>2654402661</v>
      </c>
      <c r="K242" s="151">
        <v>2570933066</v>
      </c>
      <c r="L242" s="151">
        <v>2467897066</v>
      </c>
      <c r="M242" s="151">
        <v>2367361625</v>
      </c>
      <c r="N242" s="151">
        <v>2389208010</v>
      </c>
      <c r="O242" s="151">
        <v>2313127601</v>
      </c>
      <c r="P242" s="151">
        <v>2148585099</v>
      </c>
      <c r="Q242" s="151">
        <v>2081935595</v>
      </c>
      <c r="R242" s="151">
        <v>1943001727</v>
      </c>
      <c r="S242" s="151">
        <v>2003055009</v>
      </c>
      <c r="T242" s="151">
        <v>1922435698</v>
      </c>
      <c r="U242" s="151">
        <v>1861079430</v>
      </c>
      <c r="V242" s="151">
        <v>1833365382</v>
      </c>
      <c r="W242" s="151">
        <v>1828022585</v>
      </c>
      <c r="X242" s="151">
        <v>2071767442</v>
      </c>
      <c r="Y242" s="151">
        <v>1881771962</v>
      </c>
      <c r="Z242" s="151">
        <v>1842156581</v>
      </c>
      <c r="AA242" s="151">
        <v>1910137233</v>
      </c>
      <c r="AB242" s="151">
        <v>1851576775</v>
      </c>
      <c r="AC242" s="151">
        <v>2248940202</v>
      </c>
      <c r="AD242" s="151">
        <v>2100775878</v>
      </c>
      <c r="AE242" s="151">
        <v>1830415713</v>
      </c>
      <c r="AF242" s="151"/>
      <c r="AG242" s="151"/>
      <c r="AH242" s="151"/>
      <c r="AI242" s="151"/>
    </row>
    <row r="243" spans="2:35" x14ac:dyDescent="0.35">
      <c r="B243" s="9">
        <v>1</v>
      </c>
      <c r="C243" s="122" t="str">
        <f>'Option inputs'!$C$15</f>
        <v>Option 1A</v>
      </c>
      <c r="D243" s="62"/>
      <c r="E243" s="68" t="s">
        <v>35</v>
      </c>
      <c r="F243" s="151"/>
      <c r="G243" s="151">
        <v>3018164875</v>
      </c>
      <c r="H243" s="151">
        <v>2842706292</v>
      </c>
      <c r="I243" s="151">
        <v>2719488615</v>
      </c>
      <c r="J243" s="151">
        <v>2653772688</v>
      </c>
      <c r="K243" s="151">
        <v>2570776164</v>
      </c>
      <c r="L243" s="151">
        <v>2471655261</v>
      </c>
      <c r="M243" s="151">
        <v>2383222362</v>
      </c>
      <c r="N243" s="151">
        <v>2402234076</v>
      </c>
      <c r="O243" s="151">
        <v>2335747977</v>
      </c>
      <c r="P243" s="151">
        <v>2161157396</v>
      </c>
      <c r="Q243" s="151">
        <v>2098687145</v>
      </c>
      <c r="R243" s="151">
        <v>1960503813</v>
      </c>
      <c r="S243" s="151">
        <v>2015851710</v>
      </c>
      <c r="T243" s="151">
        <v>1904929757</v>
      </c>
      <c r="U243" s="151">
        <v>1834000768</v>
      </c>
      <c r="V243" s="151">
        <v>1785158788</v>
      </c>
      <c r="W243" s="151">
        <v>1783472740</v>
      </c>
      <c r="X243" s="151">
        <v>1998754119</v>
      </c>
      <c r="Y243" s="151">
        <v>1808717286</v>
      </c>
      <c r="Z243" s="151">
        <v>1764941238</v>
      </c>
      <c r="AA243" s="151">
        <v>1883859062</v>
      </c>
      <c r="AB243" s="151">
        <v>1780947440</v>
      </c>
      <c r="AC243" s="151">
        <v>2206329440</v>
      </c>
      <c r="AD243" s="151">
        <v>2055261266</v>
      </c>
      <c r="AE243" s="151">
        <v>1744224396</v>
      </c>
      <c r="AF243" s="151"/>
      <c r="AG243" s="151"/>
      <c r="AH243" s="151"/>
      <c r="AI243" s="151"/>
    </row>
    <row r="244" spans="2:35" x14ac:dyDescent="0.35">
      <c r="B244" s="9">
        <v>2</v>
      </c>
      <c r="C244" s="122" t="str">
        <f>'Option inputs'!$C$16</f>
        <v>Option 1B</v>
      </c>
      <c r="D244" s="62"/>
      <c r="E244" s="68" t="s">
        <v>35</v>
      </c>
      <c r="F244" s="151"/>
      <c r="G244" s="151">
        <v>3018162542</v>
      </c>
      <c r="H244" s="151">
        <v>2842704039</v>
      </c>
      <c r="I244" s="151">
        <v>2719485885</v>
      </c>
      <c r="J244" s="151">
        <v>2653777768</v>
      </c>
      <c r="K244" s="151">
        <v>2568967812</v>
      </c>
      <c r="L244" s="151">
        <v>2470314373</v>
      </c>
      <c r="M244" s="151">
        <v>2381478115</v>
      </c>
      <c r="N244" s="151">
        <v>2400560534</v>
      </c>
      <c r="O244" s="151">
        <v>2331042628</v>
      </c>
      <c r="P244" s="151">
        <v>2154423039</v>
      </c>
      <c r="Q244" s="151">
        <v>2096753044</v>
      </c>
      <c r="R244" s="151">
        <v>1970902696</v>
      </c>
      <c r="S244" s="151">
        <v>2021946253</v>
      </c>
      <c r="T244" s="151">
        <v>1906367397</v>
      </c>
      <c r="U244" s="151">
        <v>1831804385</v>
      </c>
      <c r="V244" s="151">
        <v>1766962094</v>
      </c>
      <c r="W244" s="151">
        <v>1775302425</v>
      </c>
      <c r="X244" s="151">
        <v>1922577613</v>
      </c>
      <c r="Y244" s="151">
        <v>1762062053</v>
      </c>
      <c r="Z244" s="151">
        <v>1717416805</v>
      </c>
      <c r="AA244" s="151">
        <v>1842191492</v>
      </c>
      <c r="AB244" s="151">
        <v>1742354276</v>
      </c>
      <c r="AC244" s="151">
        <v>2167124181</v>
      </c>
      <c r="AD244" s="151">
        <v>2029023585</v>
      </c>
      <c r="AE244" s="151">
        <v>1694656544</v>
      </c>
      <c r="AF244" s="151"/>
      <c r="AG244" s="151"/>
      <c r="AH244" s="151"/>
      <c r="AI244" s="151"/>
    </row>
    <row r="245" spans="2:35" x14ac:dyDescent="0.35">
      <c r="B245" s="9">
        <v>3</v>
      </c>
      <c r="C245" s="122" t="str">
        <f>'Option inputs'!$C$17</f>
        <v>Option 1C</v>
      </c>
      <c r="D245" s="62"/>
      <c r="E245" s="68" t="s">
        <v>35</v>
      </c>
      <c r="F245" s="151"/>
      <c r="G245" s="151">
        <v>3018151142</v>
      </c>
      <c r="H245" s="151">
        <v>2842691131</v>
      </c>
      <c r="I245" s="151">
        <v>2719471627</v>
      </c>
      <c r="J245" s="151">
        <v>2654359023</v>
      </c>
      <c r="K245" s="151">
        <v>2567925169</v>
      </c>
      <c r="L245" s="151">
        <v>2468191322</v>
      </c>
      <c r="M245" s="151">
        <v>2377559647</v>
      </c>
      <c r="N245" s="151">
        <v>2398844247</v>
      </c>
      <c r="O245" s="151">
        <v>2331193869</v>
      </c>
      <c r="P245" s="151">
        <v>2154560153</v>
      </c>
      <c r="Q245" s="151">
        <v>2096786672</v>
      </c>
      <c r="R245" s="151">
        <v>1970892752</v>
      </c>
      <c r="S245" s="151">
        <v>2022113915</v>
      </c>
      <c r="T245" s="151">
        <v>1906738182</v>
      </c>
      <c r="U245" s="151">
        <v>1831328976</v>
      </c>
      <c r="V245" s="151">
        <v>1766393140</v>
      </c>
      <c r="W245" s="151">
        <v>1775332298</v>
      </c>
      <c r="X245" s="151">
        <v>1922429449</v>
      </c>
      <c r="Y245" s="151">
        <v>1761916950</v>
      </c>
      <c r="Z245" s="151">
        <v>1717329948</v>
      </c>
      <c r="AA245" s="151">
        <v>1842080978</v>
      </c>
      <c r="AB245" s="151">
        <v>1742331477</v>
      </c>
      <c r="AC245" s="151">
        <v>2167107360</v>
      </c>
      <c r="AD245" s="151">
        <v>2029048212</v>
      </c>
      <c r="AE245" s="151">
        <v>1694628611</v>
      </c>
      <c r="AF245" s="151"/>
      <c r="AG245" s="151"/>
      <c r="AH245" s="151"/>
      <c r="AI245" s="151"/>
    </row>
    <row r="246" spans="2:35" x14ac:dyDescent="0.35">
      <c r="B246" s="9">
        <v>4</v>
      </c>
      <c r="C246" s="122" t="str">
        <f>'Option inputs'!$C$18</f>
        <v>Option 2A</v>
      </c>
      <c r="D246" s="62"/>
      <c r="E246" s="68" t="s">
        <v>35</v>
      </c>
      <c r="F246" s="151"/>
      <c r="G246" s="151">
        <v>3018152165</v>
      </c>
      <c r="H246" s="151">
        <v>2842692120</v>
      </c>
      <c r="I246" s="151">
        <v>2719472792</v>
      </c>
      <c r="J246" s="151">
        <v>2653761773</v>
      </c>
      <c r="K246" s="151">
        <v>2563100050</v>
      </c>
      <c r="L246" s="151">
        <v>2469748360</v>
      </c>
      <c r="M246" s="151">
        <v>2371216829</v>
      </c>
      <c r="N246" s="151">
        <v>2385519549</v>
      </c>
      <c r="O246" s="151">
        <v>2322754532</v>
      </c>
      <c r="P246" s="151">
        <v>2152226342</v>
      </c>
      <c r="Q246" s="151">
        <v>2090950282</v>
      </c>
      <c r="R246" s="151">
        <v>1946374066</v>
      </c>
      <c r="S246" s="151">
        <v>1991761366</v>
      </c>
      <c r="T246" s="151">
        <v>1871513776</v>
      </c>
      <c r="U246" s="151">
        <v>1784044666</v>
      </c>
      <c r="V246" s="151">
        <v>1706099150</v>
      </c>
      <c r="W246" s="151">
        <v>1700320435</v>
      </c>
      <c r="X246" s="151">
        <v>1673625802</v>
      </c>
      <c r="Y246" s="151">
        <v>1586632351</v>
      </c>
      <c r="Z246" s="151">
        <v>1539626276</v>
      </c>
      <c r="AA246" s="151">
        <v>1619176312</v>
      </c>
      <c r="AB246" s="151">
        <v>1497484811</v>
      </c>
      <c r="AC246" s="151">
        <v>1858520144</v>
      </c>
      <c r="AD246" s="151">
        <v>1768951796</v>
      </c>
      <c r="AE246" s="151">
        <v>1399928735</v>
      </c>
      <c r="AF246" s="151"/>
      <c r="AG246" s="151"/>
      <c r="AH246" s="151"/>
      <c r="AI246" s="151"/>
    </row>
    <row r="247" spans="2:35" x14ac:dyDescent="0.35">
      <c r="B247" s="9">
        <v>5</v>
      </c>
      <c r="C247" s="122" t="str">
        <f>'Option inputs'!$C$19</f>
        <v>Option 2B</v>
      </c>
      <c r="D247" s="62"/>
      <c r="E247" s="68" t="s">
        <v>35</v>
      </c>
      <c r="F247" s="151"/>
      <c r="G247" s="151">
        <v>3018162210</v>
      </c>
      <c r="H247" s="151">
        <v>2842704123</v>
      </c>
      <c r="I247" s="151">
        <v>2719485816</v>
      </c>
      <c r="J247" s="151">
        <v>2653717525</v>
      </c>
      <c r="K247" s="151">
        <v>2559940533</v>
      </c>
      <c r="L247" s="151">
        <v>2468363258</v>
      </c>
      <c r="M247" s="151">
        <v>2367509735</v>
      </c>
      <c r="N247" s="151">
        <v>2381086796</v>
      </c>
      <c r="O247" s="151">
        <v>2317129212</v>
      </c>
      <c r="P247" s="151">
        <v>2141370510</v>
      </c>
      <c r="Q247" s="151">
        <v>2086312954</v>
      </c>
      <c r="R247" s="151">
        <v>1949866876</v>
      </c>
      <c r="S247" s="151">
        <v>2001488437</v>
      </c>
      <c r="T247" s="151">
        <v>1874933789</v>
      </c>
      <c r="U247" s="151">
        <v>1780308346</v>
      </c>
      <c r="V247" s="151">
        <v>1686889369</v>
      </c>
      <c r="W247" s="151">
        <v>1689204221</v>
      </c>
      <c r="X247" s="151">
        <v>1657334302</v>
      </c>
      <c r="Y247" s="151">
        <v>1564462396</v>
      </c>
      <c r="Z247" s="151">
        <v>1504412655</v>
      </c>
      <c r="AA247" s="151">
        <v>1566071904</v>
      </c>
      <c r="AB247" s="151">
        <v>1447785260</v>
      </c>
      <c r="AC247" s="151">
        <v>1771965026</v>
      </c>
      <c r="AD247" s="151">
        <v>1688285455</v>
      </c>
      <c r="AE247" s="151">
        <v>1301565654</v>
      </c>
      <c r="AF247" s="151"/>
      <c r="AG247" s="151"/>
      <c r="AH247" s="151"/>
      <c r="AI247" s="151"/>
    </row>
    <row r="248" spans="2:35" x14ac:dyDescent="0.35">
      <c r="B248" s="9">
        <v>6</v>
      </c>
      <c r="C248" s="122" t="str">
        <f>'Option inputs'!$C$20</f>
        <v>Option 2C</v>
      </c>
      <c r="D248" s="62"/>
      <c r="E248" s="68" t="s">
        <v>35</v>
      </c>
      <c r="F248" s="151"/>
      <c r="G248" s="151">
        <v>3018162149</v>
      </c>
      <c r="H248" s="151">
        <v>2842702950</v>
      </c>
      <c r="I248" s="151">
        <v>2719485227</v>
      </c>
      <c r="J248" s="151">
        <v>2653943693</v>
      </c>
      <c r="K248" s="151">
        <v>2585982992</v>
      </c>
      <c r="L248" s="151">
        <v>2467724456</v>
      </c>
      <c r="M248" s="151">
        <v>2365750534</v>
      </c>
      <c r="N248" s="151">
        <v>2379045698</v>
      </c>
      <c r="O248" s="151">
        <v>2316137228</v>
      </c>
      <c r="P248" s="151">
        <v>2141163589</v>
      </c>
      <c r="Q248" s="151">
        <v>2086303656</v>
      </c>
      <c r="R248" s="151">
        <v>1949973223</v>
      </c>
      <c r="S248" s="151">
        <v>2001462477</v>
      </c>
      <c r="T248" s="151">
        <v>1874938500</v>
      </c>
      <c r="U248" s="151">
        <v>1780331550</v>
      </c>
      <c r="V248" s="151">
        <v>1686916255</v>
      </c>
      <c r="W248" s="151">
        <v>1689231543</v>
      </c>
      <c r="X248" s="151">
        <v>1657349197</v>
      </c>
      <c r="Y248" s="151">
        <v>1564460319</v>
      </c>
      <c r="Z248" s="151">
        <v>1504408617</v>
      </c>
      <c r="AA248" s="151">
        <v>1566085574</v>
      </c>
      <c r="AB248" s="151">
        <v>1447782586</v>
      </c>
      <c r="AC248" s="151">
        <v>1771965719</v>
      </c>
      <c r="AD248" s="151">
        <v>1688280729</v>
      </c>
      <c r="AE248" s="151">
        <v>1301563349</v>
      </c>
      <c r="AF248" s="151"/>
      <c r="AG248" s="151"/>
      <c r="AH248" s="151"/>
      <c r="AI248" s="151"/>
    </row>
    <row r="249" spans="2:35" x14ac:dyDescent="0.35">
      <c r="B249" s="9">
        <v>7</v>
      </c>
      <c r="C249" s="122" t="str">
        <f>'Option inputs'!$C$21</f>
        <v>Option 3A</v>
      </c>
      <c r="D249" s="62"/>
      <c r="E249" s="68" t="s">
        <v>35</v>
      </c>
      <c r="F249" s="130"/>
      <c r="G249" s="130">
        <v>3018152097</v>
      </c>
      <c r="H249" s="151">
        <v>2842692406</v>
      </c>
      <c r="I249" s="151">
        <v>2719473077</v>
      </c>
      <c r="J249" s="151">
        <v>2653743170</v>
      </c>
      <c r="K249" s="151">
        <v>2564873185</v>
      </c>
      <c r="L249" s="151">
        <v>2470144575</v>
      </c>
      <c r="M249" s="151">
        <v>2371866783</v>
      </c>
      <c r="N249" s="151">
        <v>2387985668</v>
      </c>
      <c r="O249" s="151">
        <v>2321484206</v>
      </c>
      <c r="P249" s="151">
        <v>2153148120</v>
      </c>
      <c r="Q249" s="151">
        <v>2089095357</v>
      </c>
      <c r="R249" s="151">
        <v>1942137250</v>
      </c>
      <c r="S249" s="151">
        <v>1988342378</v>
      </c>
      <c r="T249" s="151">
        <v>1864122412</v>
      </c>
      <c r="U249" s="151">
        <v>1792144651</v>
      </c>
      <c r="V249" s="151">
        <v>1730359657</v>
      </c>
      <c r="W249" s="151">
        <v>1712607425</v>
      </c>
      <c r="X249" s="151">
        <v>1694449081</v>
      </c>
      <c r="Y249" s="151">
        <v>1599990693</v>
      </c>
      <c r="Z249" s="151">
        <v>1551087578</v>
      </c>
      <c r="AA249" s="151">
        <v>1645446084</v>
      </c>
      <c r="AB249" s="151">
        <v>1521862674</v>
      </c>
      <c r="AC249" s="151">
        <v>1892209733</v>
      </c>
      <c r="AD249" s="151">
        <v>1787505150</v>
      </c>
      <c r="AE249" s="151">
        <v>1442872814</v>
      </c>
      <c r="AF249" s="151"/>
      <c r="AG249" s="151"/>
      <c r="AH249" s="151"/>
      <c r="AI249" s="151"/>
    </row>
    <row r="250" spans="2:35" x14ac:dyDescent="0.35">
      <c r="B250" s="64">
        <f>+'Option inputs'!$B$22</f>
        <v>8</v>
      </c>
      <c r="C250" s="122" t="str">
        <f>'Option inputs'!$C$22</f>
        <v>Option 3B</v>
      </c>
      <c r="D250" s="62"/>
      <c r="E250" s="68" t="s">
        <v>35</v>
      </c>
      <c r="F250" s="130"/>
      <c r="G250" s="130">
        <v>3018157970</v>
      </c>
      <c r="H250" s="151">
        <v>2842698542</v>
      </c>
      <c r="I250" s="151">
        <v>2719479935</v>
      </c>
      <c r="J250" s="151">
        <v>2653749563</v>
      </c>
      <c r="K250" s="151">
        <v>2561204911</v>
      </c>
      <c r="L250" s="151">
        <v>2468071587</v>
      </c>
      <c r="M250" s="151">
        <v>2368024370</v>
      </c>
      <c r="N250" s="151">
        <v>2382643541</v>
      </c>
      <c r="O250" s="151">
        <v>2316702585</v>
      </c>
      <c r="P250" s="151">
        <v>2142376298</v>
      </c>
      <c r="Q250" s="151">
        <v>2086408168</v>
      </c>
      <c r="R250" s="151">
        <v>1952301383</v>
      </c>
      <c r="S250" s="151">
        <v>2004318799</v>
      </c>
      <c r="T250" s="151">
        <v>1874629955</v>
      </c>
      <c r="U250" s="151">
        <v>1780822399</v>
      </c>
      <c r="V250" s="151">
        <v>1684414640</v>
      </c>
      <c r="W250" s="151">
        <v>1687593801</v>
      </c>
      <c r="X250" s="151">
        <v>1653339041</v>
      </c>
      <c r="Y250" s="151">
        <v>1556938472</v>
      </c>
      <c r="Z250" s="151">
        <v>1504601168</v>
      </c>
      <c r="AA250" s="151">
        <v>1564053522</v>
      </c>
      <c r="AB250" s="151">
        <v>1448389455</v>
      </c>
      <c r="AC250" s="151">
        <v>1779295142</v>
      </c>
      <c r="AD250" s="151">
        <v>1691434149</v>
      </c>
      <c r="AE250" s="151">
        <v>1308336366</v>
      </c>
      <c r="AF250" s="151"/>
      <c r="AG250" s="151"/>
      <c r="AH250" s="151"/>
      <c r="AI250" s="151"/>
    </row>
    <row r="251" spans="2:35" x14ac:dyDescent="0.35">
      <c r="B251" s="64">
        <f>+'Option inputs'!$B$23</f>
        <v>9</v>
      </c>
      <c r="C251" s="122" t="str">
        <f>'Option inputs'!$C$23</f>
        <v>Option 3C</v>
      </c>
      <c r="D251" s="62"/>
      <c r="E251" s="68" t="s">
        <v>35</v>
      </c>
      <c r="F251" s="130"/>
      <c r="G251" s="130">
        <v>3018161829</v>
      </c>
      <c r="H251" s="151">
        <v>2842703112</v>
      </c>
      <c r="I251" s="151">
        <v>2719485148</v>
      </c>
      <c r="J251" s="151">
        <v>2653746888</v>
      </c>
      <c r="K251" s="151">
        <v>2569191470</v>
      </c>
      <c r="L251" s="151">
        <v>2467733138</v>
      </c>
      <c r="M251" s="151">
        <v>2365253321</v>
      </c>
      <c r="N251" s="151">
        <v>2378758119</v>
      </c>
      <c r="O251" s="151">
        <v>2316563338</v>
      </c>
      <c r="P251" s="151">
        <v>2142189160</v>
      </c>
      <c r="Q251" s="151">
        <v>2086281778</v>
      </c>
      <c r="R251" s="151">
        <v>1952227117</v>
      </c>
      <c r="S251" s="151">
        <v>2004292008</v>
      </c>
      <c r="T251" s="151">
        <v>1874551172</v>
      </c>
      <c r="U251" s="151">
        <v>1780656808</v>
      </c>
      <c r="V251" s="151">
        <v>1684253128</v>
      </c>
      <c r="W251" s="151">
        <v>1687513770</v>
      </c>
      <c r="X251" s="151">
        <v>1653297844</v>
      </c>
      <c r="Y251" s="151">
        <v>1556946402</v>
      </c>
      <c r="Z251" s="151">
        <v>1504602986</v>
      </c>
      <c r="AA251" s="151">
        <v>1564043197</v>
      </c>
      <c r="AB251" s="151">
        <v>1448408810</v>
      </c>
      <c r="AC251" s="151">
        <v>1779289139</v>
      </c>
      <c r="AD251" s="151">
        <v>1691472952</v>
      </c>
      <c r="AE251" s="151">
        <v>1308345845</v>
      </c>
      <c r="AF251" s="151"/>
      <c r="AG251" s="151"/>
      <c r="AH251" s="151"/>
      <c r="AI251" s="151"/>
    </row>
    <row r="252" spans="2:35" x14ac:dyDescent="0.35">
      <c r="B252" s="64">
        <f>+'Option inputs'!$B$24</f>
        <v>10</v>
      </c>
      <c r="C252" s="122" t="str">
        <f>'Option inputs'!$C$24</f>
        <v>Option 4A</v>
      </c>
      <c r="D252" s="62"/>
      <c r="E252" s="68" t="s">
        <v>35</v>
      </c>
      <c r="F252" s="130"/>
      <c r="G252" s="130">
        <v>3018163137</v>
      </c>
      <c r="H252" s="151">
        <v>2842704794</v>
      </c>
      <c r="I252" s="151">
        <v>2719486972</v>
      </c>
      <c r="J252" s="151">
        <v>2653753556</v>
      </c>
      <c r="K252" s="151">
        <v>2564876398</v>
      </c>
      <c r="L252" s="151">
        <v>2468500258</v>
      </c>
      <c r="M252" s="151">
        <v>2369954775</v>
      </c>
      <c r="N252" s="151">
        <v>2385305601</v>
      </c>
      <c r="O252" s="151">
        <v>2318107554</v>
      </c>
      <c r="P252" s="151">
        <v>2148307157</v>
      </c>
      <c r="Q252" s="151">
        <v>2084486462</v>
      </c>
      <c r="R252" s="151">
        <v>1937604538</v>
      </c>
      <c r="S252" s="151">
        <v>1987328162</v>
      </c>
      <c r="T252" s="151">
        <v>1863261991</v>
      </c>
      <c r="U252" s="151">
        <v>1783257113</v>
      </c>
      <c r="V252" s="151">
        <v>1713343657</v>
      </c>
      <c r="W252" s="151">
        <v>1702414636</v>
      </c>
      <c r="X252" s="151">
        <v>1682058839</v>
      </c>
      <c r="Y252" s="151">
        <v>1587449079</v>
      </c>
      <c r="Z252" s="151">
        <v>1541727565</v>
      </c>
      <c r="AA252" s="151">
        <v>1626703146</v>
      </c>
      <c r="AB252" s="151">
        <v>1504284351</v>
      </c>
      <c r="AC252" s="151">
        <v>1867966332</v>
      </c>
      <c r="AD252" s="151">
        <v>1764712964</v>
      </c>
      <c r="AE252" s="151">
        <v>1414100007</v>
      </c>
      <c r="AF252" s="151"/>
      <c r="AG252" s="151"/>
      <c r="AH252" s="151"/>
      <c r="AI252" s="151"/>
    </row>
    <row r="253" spans="2:35" x14ac:dyDescent="0.35">
      <c r="B253" s="64">
        <f>+'Option inputs'!$B$25</f>
        <v>11</v>
      </c>
      <c r="C253" s="122" t="str">
        <f>'Option inputs'!$C$25</f>
        <v>Option 4B</v>
      </c>
      <c r="D253" s="62"/>
      <c r="E253" s="68" t="s">
        <v>35</v>
      </c>
      <c r="F253" s="130"/>
      <c r="G253" s="130">
        <v>3018162116</v>
      </c>
      <c r="H253" s="151">
        <v>2842704086</v>
      </c>
      <c r="I253" s="151">
        <v>2719485655</v>
      </c>
      <c r="J253" s="151">
        <v>2653751775</v>
      </c>
      <c r="K253" s="151">
        <v>2561187597</v>
      </c>
      <c r="L253" s="151">
        <v>2466583356</v>
      </c>
      <c r="M253" s="151">
        <v>2365586406</v>
      </c>
      <c r="N253" s="151">
        <v>2379215405</v>
      </c>
      <c r="O253" s="151">
        <v>2315486467</v>
      </c>
      <c r="P253" s="151">
        <v>2143430449</v>
      </c>
      <c r="Q253" s="151">
        <v>2078211418</v>
      </c>
      <c r="R253" s="151">
        <v>1952074422</v>
      </c>
      <c r="S253" s="151">
        <v>2011180390</v>
      </c>
      <c r="T253" s="151">
        <v>1887992889</v>
      </c>
      <c r="U253" s="151">
        <v>1788786641</v>
      </c>
      <c r="V253" s="151">
        <v>1684298791</v>
      </c>
      <c r="W253" s="151">
        <v>1689536155</v>
      </c>
      <c r="X253" s="151">
        <v>1644131770</v>
      </c>
      <c r="Y253" s="151">
        <v>1546483952</v>
      </c>
      <c r="Z253" s="151">
        <v>1489792855</v>
      </c>
      <c r="AA253" s="151">
        <v>1549594717</v>
      </c>
      <c r="AB253" s="151">
        <v>1426738230</v>
      </c>
      <c r="AC253" s="151">
        <v>1749163362</v>
      </c>
      <c r="AD253" s="151">
        <v>1663410774</v>
      </c>
      <c r="AE253" s="151">
        <v>1261137264</v>
      </c>
      <c r="AF253" s="151"/>
      <c r="AG253" s="151"/>
      <c r="AH253" s="151"/>
      <c r="AI253" s="151"/>
    </row>
    <row r="254" spans="2:35" x14ac:dyDescent="0.35">
      <c r="B254" s="64">
        <f>+'Option inputs'!$B$26</f>
        <v>12</v>
      </c>
      <c r="C254" s="122" t="str">
        <f>'Option inputs'!$C$26</f>
        <v>Option 4C</v>
      </c>
      <c r="D254" s="62"/>
      <c r="E254" s="68" t="s">
        <v>35</v>
      </c>
      <c r="F254" s="130"/>
      <c r="G254" s="130">
        <v>3018156382</v>
      </c>
      <c r="H254" s="151">
        <v>2842697446</v>
      </c>
      <c r="I254" s="151">
        <v>2719478948</v>
      </c>
      <c r="J254" s="151">
        <v>2653742520</v>
      </c>
      <c r="K254" s="151">
        <v>2569190699</v>
      </c>
      <c r="L254" s="151">
        <v>2465899957</v>
      </c>
      <c r="M254" s="151">
        <v>2362511898</v>
      </c>
      <c r="N254" s="151">
        <v>2374917717</v>
      </c>
      <c r="O254" s="151">
        <v>2315121146</v>
      </c>
      <c r="P254" s="151">
        <v>2143267215</v>
      </c>
      <c r="Q254" s="151">
        <v>2078193783</v>
      </c>
      <c r="R254" s="151">
        <v>1952056107</v>
      </c>
      <c r="S254" s="151">
        <v>2011165007</v>
      </c>
      <c r="T254" s="151">
        <v>1887979615</v>
      </c>
      <c r="U254" s="151">
        <v>1788746176</v>
      </c>
      <c r="V254" s="151">
        <v>1684238787</v>
      </c>
      <c r="W254" s="151">
        <v>1689519941</v>
      </c>
      <c r="X254" s="151">
        <v>1644140670</v>
      </c>
      <c r="Y254" s="151">
        <v>1546478684</v>
      </c>
      <c r="Z254" s="151">
        <v>1489781574</v>
      </c>
      <c r="AA254" s="151">
        <v>1549590182</v>
      </c>
      <c r="AB254" s="151">
        <v>1426722802</v>
      </c>
      <c r="AC254" s="151">
        <v>1749160697</v>
      </c>
      <c r="AD254" s="151">
        <v>1663427048</v>
      </c>
      <c r="AE254" s="151">
        <v>1261083968</v>
      </c>
      <c r="AF254" s="151"/>
      <c r="AG254" s="151"/>
      <c r="AH254" s="151"/>
      <c r="AI254" s="151"/>
    </row>
    <row r="255" spans="2:35" x14ac:dyDescent="0.35">
      <c r="E255" s="66"/>
      <c r="AF255" s="46"/>
      <c r="AG255" s="46"/>
      <c r="AH255" s="46"/>
      <c r="AI255" s="46"/>
    </row>
    <row r="256" spans="2:35" x14ac:dyDescent="0.35">
      <c r="B256" s="58" t="s">
        <v>29</v>
      </c>
      <c r="C256" s="58"/>
      <c r="D256" s="58"/>
      <c r="E256" s="114" t="s">
        <v>30</v>
      </c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</row>
    <row r="257" spans="1:35" s="47" customFormat="1" x14ac:dyDescent="0.35">
      <c r="A257" s="87"/>
      <c r="B257" s="117"/>
      <c r="C257" s="117"/>
      <c r="D257" s="117"/>
      <c r="E257" s="118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</row>
    <row r="258" spans="1:35" x14ac:dyDescent="0.35">
      <c r="B258" s="59" t="s">
        <v>14</v>
      </c>
      <c r="C258" s="59" t="s">
        <v>13</v>
      </c>
      <c r="D258" s="80" t="str">
        <f>'Interface and charts'!$I$6</f>
        <v>Central</v>
      </c>
      <c r="E258" s="63" t="s">
        <v>7</v>
      </c>
      <c r="F258" s="171" t="str">
        <f>Calculation!G$56</f>
        <v>FY 2019-20</v>
      </c>
      <c r="G258" s="171" t="str">
        <f>Calculation!H$56</f>
        <v>FY 2020-21</v>
      </c>
      <c r="H258" s="171" t="str">
        <f>Calculation!I$56</f>
        <v>FY 2021-22</v>
      </c>
      <c r="I258" s="171" t="str">
        <f>Calculation!J$56</f>
        <v>FY 2022-23</v>
      </c>
      <c r="J258" s="171" t="str">
        <f>Calculation!K$56</f>
        <v>FY 2023-24</v>
      </c>
      <c r="K258" s="171" t="str">
        <f>Calculation!L$56</f>
        <v>FY 2024-25</v>
      </c>
      <c r="L258" s="171" t="str">
        <f>Calculation!M$56</f>
        <v>FY 2025-26</v>
      </c>
      <c r="M258" s="171" t="str">
        <f>Calculation!N$56</f>
        <v>FY 2026-27</v>
      </c>
      <c r="N258" s="171" t="str">
        <f>Calculation!O$56</f>
        <v>FY 2027-28</v>
      </c>
      <c r="O258" s="171" t="str">
        <f>Calculation!P$56</f>
        <v>FY 2028-29</v>
      </c>
      <c r="P258" s="171" t="str">
        <f>Calculation!Q$56</f>
        <v>FY 2029-30</v>
      </c>
      <c r="Q258" s="171" t="str">
        <f>Calculation!R$56</f>
        <v>FY 2030-31</v>
      </c>
      <c r="R258" s="171" t="str">
        <f>Calculation!S$56</f>
        <v>FY 2031-32</v>
      </c>
      <c r="S258" s="171" t="str">
        <f>Calculation!T$56</f>
        <v>FY 2032-33</v>
      </c>
      <c r="T258" s="171" t="str">
        <f>Calculation!U$56</f>
        <v>FY 2033-34</v>
      </c>
      <c r="U258" s="171" t="str">
        <f>Calculation!V$56</f>
        <v>FY 2034-35</v>
      </c>
      <c r="V258" s="171" t="str">
        <f>Calculation!W$56</f>
        <v>FY 2035-36</v>
      </c>
      <c r="W258" s="171" t="str">
        <f>Calculation!X$56</f>
        <v>FY 2036-37</v>
      </c>
      <c r="X258" s="171" t="str">
        <f>Calculation!Y$56</f>
        <v>FY 2037-38</v>
      </c>
      <c r="Y258" s="171" t="str">
        <f>Calculation!Z$56</f>
        <v>FY 2038-39</v>
      </c>
      <c r="Z258" s="171" t="str">
        <f>Calculation!AA$56</f>
        <v>FY 2039-40</v>
      </c>
      <c r="AA258" s="171" t="str">
        <f>Calculation!AB$56</f>
        <v>FY 2040-41</v>
      </c>
      <c r="AB258" s="171" t="str">
        <f>Calculation!AC$56</f>
        <v>FY 2041-42</v>
      </c>
      <c r="AC258" s="171" t="str">
        <f>Calculation!AD$56</f>
        <v>FY 2042-43</v>
      </c>
      <c r="AD258" s="171" t="str">
        <f>Calculation!AE$56</f>
        <v>FY 2043-44</v>
      </c>
      <c r="AE258" s="171" t="str">
        <f>Calculation!AF$56</f>
        <v>FY 2044-45</v>
      </c>
      <c r="AF258" s="171" t="str">
        <f>Calculation!AG$56</f>
        <v>FY 2045-46</v>
      </c>
      <c r="AG258" s="171" t="str">
        <f>Calculation!AH$56</f>
        <v>FY 2046-47</v>
      </c>
      <c r="AH258" s="171" t="str">
        <f>Calculation!AI$56</f>
        <v>FY 2047-48</v>
      </c>
      <c r="AI258" s="171" t="str">
        <f>Calculation!AJ$56</f>
        <v>FY 2048-49</v>
      </c>
    </row>
    <row r="259" spans="1:35" x14ac:dyDescent="0.35">
      <c r="B259" s="9">
        <v>0</v>
      </c>
      <c r="C259" s="123" t="str">
        <f>'Option inputs'!$C$14</f>
        <v>Base case</v>
      </c>
      <c r="D259" s="62"/>
      <c r="E259" s="68" t="s">
        <v>35</v>
      </c>
      <c r="F259" s="151"/>
      <c r="G259" s="151">
        <v>21619837</v>
      </c>
      <c r="H259" s="151">
        <v>4107847</v>
      </c>
      <c r="I259" s="151">
        <v>7630611</v>
      </c>
      <c r="J259" s="151">
        <v>6235753</v>
      </c>
      <c r="K259" s="151">
        <v>18962256</v>
      </c>
      <c r="L259" s="151">
        <v>123761</v>
      </c>
      <c r="M259" s="151">
        <v>18581900</v>
      </c>
      <c r="N259" s="151">
        <v>225174</v>
      </c>
      <c r="O259" s="151">
        <v>20133430</v>
      </c>
      <c r="P259" s="151">
        <v>23281871</v>
      </c>
      <c r="Q259" s="151">
        <v>6837433</v>
      </c>
      <c r="R259" s="151">
        <v>9988303</v>
      </c>
      <c r="S259" s="151">
        <v>15578262</v>
      </c>
      <c r="T259" s="151">
        <v>15031071</v>
      </c>
      <c r="U259" s="151">
        <v>26053284</v>
      </c>
      <c r="V259" s="151">
        <v>32287469</v>
      </c>
      <c r="W259" s="151">
        <v>23826249</v>
      </c>
      <c r="X259" s="151">
        <v>112020156</v>
      </c>
      <c r="Y259" s="151">
        <v>108559</v>
      </c>
      <c r="Z259" s="151">
        <v>890079</v>
      </c>
      <c r="AA259" s="151">
        <v>8328207</v>
      </c>
      <c r="AB259" s="151">
        <v>24276102</v>
      </c>
      <c r="AC259" s="151">
        <v>21377643</v>
      </c>
      <c r="AD259" s="151">
        <v>35034153</v>
      </c>
      <c r="AE259" s="151">
        <v>15664800</v>
      </c>
      <c r="AF259" s="151"/>
      <c r="AG259" s="151"/>
      <c r="AH259" s="151"/>
      <c r="AI259" s="151"/>
    </row>
    <row r="260" spans="1:35" x14ac:dyDescent="0.35">
      <c r="B260" s="9">
        <v>1</v>
      </c>
      <c r="C260" s="122" t="str">
        <f>'Option inputs'!$C$15</f>
        <v>Option 1A</v>
      </c>
      <c r="D260" s="62"/>
      <c r="E260" s="68" t="s">
        <v>35</v>
      </c>
      <c r="F260" s="151"/>
      <c r="G260" s="151">
        <v>21618259</v>
      </c>
      <c r="H260" s="151">
        <v>4106179</v>
      </c>
      <c r="I260" s="151">
        <v>7628861</v>
      </c>
      <c r="J260" s="151">
        <v>9336940</v>
      </c>
      <c r="K260" s="151">
        <v>27430975</v>
      </c>
      <c r="L260" s="151">
        <v>2067</v>
      </c>
      <c r="M260" s="151">
        <v>7499881</v>
      </c>
      <c r="N260" s="151">
        <v>2316</v>
      </c>
      <c r="O260" s="151">
        <v>9486392</v>
      </c>
      <c r="P260" s="151">
        <v>15991227</v>
      </c>
      <c r="Q260" s="151">
        <v>1170002</v>
      </c>
      <c r="R260" s="151">
        <v>8062827</v>
      </c>
      <c r="S260" s="151">
        <v>10344155</v>
      </c>
      <c r="T260" s="151">
        <v>15718386</v>
      </c>
      <c r="U260" s="151">
        <v>24186230</v>
      </c>
      <c r="V260" s="151">
        <v>31363305</v>
      </c>
      <c r="W260" s="151">
        <v>21543167</v>
      </c>
      <c r="X260" s="151">
        <v>95425363</v>
      </c>
      <c r="Y260" s="151">
        <v>158440</v>
      </c>
      <c r="Z260" s="151">
        <v>918750</v>
      </c>
      <c r="AA260" s="151">
        <v>9703576</v>
      </c>
      <c r="AB260" s="151">
        <v>22084427</v>
      </c>
      <c r="AC260" s="151">
        <v>21378325</v>
      </c>
      <c r="AD260" s="151">
        <v>30395163</v>
      </c>
      <c r="AE260" s="151">
        <v>18393991</v>
      </c>
      <c r="AF260" s="151"/>
      <c r="AG260" s="151"/>
      <c r="AH260" s="151"/>
      <c r="AI260" s="151"/>
    </row>
    <row r="261" spans="1:35" x14ac:dyDescent="0.35">
      <c r="B261" s="9">
        <v>2</v>
      </c>
      <c r="C261" s="122" t="str">
        <f>'Option inputs'!$C$16</f>
        <v>Option 1B</v>
      </c>
      <c r="D261" s="62"/>
      <c r="E261" s="68" t="s">
        <v>35</v>
      </c>
      <c r="F261" s="151"/>
      <c r="G261" s="151">
        <v>21617284</v>
      </c>
      <c r="H261" s="151">
        <v>4105130</v>
      </c>
      <c r="I261" s="151">
        <v>7627914</v>
      </c>
      <c r="J261" s="151">
        <v>9415186</v>
      </c>
      <c r="K261" s="151">
        <v>28113810</v>
      </c>
      <c r="L261" s="151">
        <v>713</v>
      </c>
      <c r="M261" s="151">
        <v>5312318</v>
      </c>
      <c r="N261" s="151">
        <v>799</v>
      </c>
      <c r="O261" s="151">
        <v>8955827</v>
      </c>
      <c r="P261" s="151">
        <v>3332741</v>
      </c>
      <c r="Q261" s="151">
        <v>971</v>
      </c>
      <c r="R261" s="151">
        <v>5939437</v>
      </c>
      <c r="S261" s="151">
        <v>6548277</v>
      </c>
      <c r="T261" s="151">
        <v>14840089</v>
      </c>
      <c r="U261" s="151">
        <v>18214482</v>
      </c>
      <c r="V261" s="151">
        <v>24578076</v>
      </c>
      <c r="W261" s="151">
        <v>14173293</v>
      </c>
      <c r="X261" s="151">
        <v>66104394</v>
      </c>
      <c r="Y261" s="151">
        <v>184513</v>
      </c>
      <c r="Z261" s="151">
        <v>1458777</v>
      </c>
      <c r="AA261" s="151">
        <v>14823838</v>
      </c>
      <c r="AB261" s="151">
        <v>20762097</v>
      </c>
      <c r="AC261" s="151">
        <v>20482279</v>
      </c>
      <c r="AD261" s="151">
        <v>25284056</v>
      </c>
      <c r="AE261" s="151">
        <v>18073915</v>
      </c>
      <c r="AF261" s="151"/>
      <c r="AG261" s="151"/>
      <c r="AH261" s="151"/>
      <c r="AI261" s="151"/>
    </row>
    <row r="262" spans="1:35" x14ac:dyDescent="0.35">
      <c r="B262" s="9">
        <v>3</v>
      </c>
      <c r="C262" s="122" t="str">
        <f>'Option inputs'!$C$17</f>
        <v>Option 1C</v>
      </c>
      <c r="D262" s="62"/>
      <c r="E262" s="68" t="s">
        <v>35</v>
      </c>
      <c r="F262" s="151"/>
      <c r="G262" s="151">
        <v>21619506</v>
      </c>
      <c r="H262" s="151">
        <v>4107484</v>
      </c>
      <c r="I262" s="151">
        <v>7630284</v>
      </c>
      <c r="J262" s="151">
        <v>6605961</v>
      </c>
      <c r="K262" s="151">
        <v>33979110</v>
      </c>
      <c r="L262" s="151">
        <v>3708</v>
      </c>
      <c r="M262" s="151">
        <v>3495311</v>
      </c>
      <c r="N262" s="151">
        <v>4125</v>
      </c>
      <c r="O262" s="151">
        <v>678196</v>
      </c>
      <c r="P262" s="151">
        <v>2973843</v>
      </c>
      <c r="Q262" s="151">
        <v>4952</v>
      </c>
      <c r="R262" s="151">
        <v>5943698</v>
      </c>
      <c r="S262" s="151">
        <v>6553559</v>
      </c>
      <c r="T262" s="151">
        <v>14841762</v>
      </c>
      <c r="U262" s="151">
        <v>18213298</v>
      </c>
      <c r="V262" s="151">
        <v>24588228</v>
      </c>
      <c r="W262" s="151">
        <v>14169922</v>
      </c>
      <c r="X262" s="151">
        <v>66093364</v>
      </c>
      <c r="Y262" s="151">
        <v>190848</v>
      </c>
      <c r="Z262" s="151">
        <v>1465802</v>
      </c>
      <c r="AA262" s="151">
        <v>14830172</v>
      </c>
      <c r="AB262" s="151">
        <v>20769417</v>
      </c>
      <c r="AC262" s="151">
        <v>20490211</v>
      </c>
      <c r="AD262" s="151">
        <v>25292372</v>
      </c>
      <c r="AE262" s="151">
        <v>18083067</v>
      </c>
      <c r="AF262" s="151"/>
      <c r="AG262" s="151"/>
      <c r="AH262" s="151"/>
      <c r="AI262" s="151"/>
    </row>
    <row r="263" spans="1:35" x14ac:dyDescent="0.35">
      <c r="B263" s="9">
        <v>4</v>
      </c>
      <c r="C263" s="122" t="str">
        <f>'Option inputs'!$C$18</f>
        <v>Option 2A</v>
      </c>
      <c r="D263" s="62"/>
      <c r="E263" s="68" t="s">
        <v>35</v>
      </c>
      <c r="F263" s="151"/>
      <c r="G263" s="151">
        <v>21620466</v>
      </c>
      <c r="H263" s="151">
        <v>4108402</v>
      </c>
      <c r="I263" s="151">
        <v>7630974</v>
      </c>
      <c r="J263" s="151">
        <v>11428095</v>
      </c>
      <c r="K263" s="151">
        <v>15787157</v>
      </c>
      <c r="L263" s="151">
        <v>4431</v>
      </c>
      <c r="M263" s="151">
        <v>5107345</v>
      </c>
      <c r="N263" s="151">
        <v>4792</v>
      </c>
      <c r="O263" s="151">
        <v>9264988</v>
      </c>
      <c r="P263" s="151">
        <v>15076183</v>
      </c>
      <c r="Q263" s="151">
        <v>458548</v>
      </c>
      <c r="R263" s="151">
        <v>8146519</v>
      </c>
      <c r="S263" s="151">
        <v>10347155</v>
      </c>
      <c r="T263" s="151">
        <v>15175940</v>
      </c>
      <c r="U263" s="151">
        <v>22449359</v>
      </c>
      <c r="V263" s="151">
        <v>37686094</v>
      </c>
      <c r="W263" s="151">
        <v>19827335</v>
      </c>
      <c r="X263" s="151">
        <v>99296007</v>
      </c>
      <c r="Y263" s="151">
        <v>99482</v>
      </c>
      <c r="Z263" s="151">
        <v>1617825</v>
      </c>
      <c r="AA263" s="151">
        <v>12914094</v>
      </c>
      <c r="AB263" s="151">
        <v>27644872</v>
      </c>
      <c r="AC263" s="151">
        <v>19923032</v>
      </c>
      <c r="AD263" s="151">
        <v>32337857</v>
      </c>
      <c r="AE263" s="151">
        <v>18182252</v>
      </c>
      <c r="AF263" s="151"/>
      <c r="AG263" s="151"/>
      <c r="AH263" s="151"/>
      <c r="AI263" s="151"/>
    </row>
    <row r="264" spans="1:35" x14ac:dyDescent="0.35">
      <c r="B264" s="9">
        <v>5</v>
      </c>
      <c r="C264" s="122" t="str">
        <f>'Option inputs'!$C$19</f>
        <v>Option 2B</v>
      </c>
      <c r="D264" s="62"/>
      <c r="E264" s="68" t="s">
        <v>35</v>
      </c>
      <c r="F264" s="151"/>
      <c r="G264" s="151">
        <v>21619105</v>
      </c>
      <c r="H264" s="151">
        <v>4107070</v>
      </c>
      <c r="I264" s="151">
        <v>7629811</v>
      </c>
      <c r="J264" s="151">
        <v>11670730</v>
      </c>
      <c r="K264" s="151">
        <v>15785931</v>
      </c>
      <c r="L264" s="151">
        <v>3199</v>
      </c>
      <c r="M264" s="151">
        <v>4543963</v>
      </c>
      <c r="N264" s="151">
        <v>3580</v>
      </c>
      <c r="O264" s="151">
        <v>9049455</v>
      </c>
      <c r="P264" s="151">
        <v>3891657</v>
      </c>
      <c r="Q264" s="151">
        <v>4325</v>
      </c>
      <c r="R264" s="151">
        <v>5792376</v>
      </c>
      <c r="S264" s="151">
        <v>5314226</v>
      </c>
      <c r="T264" s="151">
        <v>14392114</v>
      </c>
      <c r="U264" s="151">
        <v>18118014</v>
      </c>
      <c r="V264" s="151">
        <v>22346840</v>
      </c>
      <c r="W264" s="151">
        <v>13343064</v>
      </c>
      <c r="X264" s="151">
        <v>75821209</v>
      </c>
      <c r="Y264" s="151">
        <v>242209</v>
      </c>
      <c r="Z264" s="151">
        <v>1761174</v>
      </c>
      <c r="AA264" s="151">
        <v>16824507</v>
      </c>
      <c r="AB264" s="151">
        <v>23672722</v>
      </c>
      <c r="AC264" s="151">
        <v>21132430</v>
      </c>
      <c r="AD264" s="151">
        <v>27694100</v>
      </c>
      <c r="AE264" s="151">
        <v>25880688</v>
      </c>
      <c r="AF264" s="151"/>
      <c r="AG264" s="151"/>
      <c r="AH264" s="151"/>
      <c r="AI264" s="151"/>
    </row>
    <row r="265" spans="1:35" x14ac:dyDescent="0.35">
      <c r="B265" s="9">
        <v>6</v>
      </c>
      <c r="C265" s="122" t="str">
        <f>'Option inputs'!$C$20</f>
        <v>Option 2C</v>
      </c>
      <c r="D265" s="62"/>
      <c r="E265" s="68" t="s">
        <v>35</v>
      </c>
      <c r="F265" s="151"/>
      <c r="G265" s="151">
        <v>21619590</v>
      </c>
      <c r="H265" s="151">
        <v>4107594</v>
      </c>
      <c r="I265" s="151">
        <v>7630373</v>
      </c>
      <c r="J265" s="151">
        <v>14195464</v>
      </c>
      <c r="K265" s="151">
        <v>11237291</v>
      </c>
      <c r="L265" s="151">
        <v>3821</v>
      </c>
      <c r="M265" s="151">
        <v>3680606</v>
      </c>
      <c r="N265" s="151">
        <v>4282</v>
      </c>
      <c r="O265" s="151">
        <v>1253605</v>
      </c>
      <c r="P265" s="151">
        <v>3897605</v>
      </c>
      <c r="Q265" s="151">
        <v>5145</v>
      </c>
      <c r="R265" s="151">
        <v>5793278</v>
      </c>
      <c r="S265" s="151">
        <v>5314085</v>
      </c>
      <c r="T265" s="151">
        <v>14386689</v>
      </c>
      <c r="U265" s="151">
        <v>18124424</v>
      </c>
      <c r="V265" s="151">
        <v>22355261</v>
      </c>
      <c r="W265" s="151">
        <v>13344321</v>
      </c>
      <c r="X265" s="151">
        <v>75820280</v>
      </c>
      <c r="Y265" s="151">
        <v>243591</v>
      </c>
      <c r="Z265" s="151">
        <v>1762691</v>
      </c>
      <c r="AA265" s="151">
        <v>16826302</v>
      </c>
      <c r="AB265" s="151">
        <v>23672749</v>
      </c>
      <c r="AC265" s="151">
        <v>21134071</v>
      </c>
      <c r="AD265" s="151">
        <v>27694601</v>
      </c>
      <c r="AE265" s="151">
        <v>25876007</v>
      </c>
      <c r="AF265" s="151"/>
      <c r="AG265" s="151"/>
      <c r="AH265" s="151"/>
      <c r="AI265" s="151"/>
    </row>
    <row r="266" spans="1:35" x14ac:dyDescent="0.35">
      <c r="B266" s="9">
        <v>7</v>
      </c>
      <c r="C266" s="122" t="str">
        <f>'Option inputs'!$C$21</f>
        <v>Option 3A</v>
      </c>
      <c r="D266" s="119"/>
      <c r="E266" s="68" t="s">
        <v>35</v>
      </c>
      <c r="F266" s="130"/>
      <c r="G266" s="130">
        <v>21619772</v>
      </c>
      <c r="H266" s="130">
        <v>4107768</v>
      </c>
      <c r="I266" s="130">
        <v>7630596</v>
      </c>
      <c r="J266" s="130">
        <v>10276176</v>
      </c>
      <c r="K266" s="130">
        <v>15882699</v>
      </c>
      <c r="L266" s="130">
        <v>4054</v>
      </c>
      <c r="M266" s="130">
        <v>10225326</v>
      </c>
      <c r="N266" s="130">
        <v>6490</v>
      </c>
      <c r="O266" s="130">
        <v>11927932</v>
      </c>
      <c r="P266" s="130">
        <v>18874710</v>
      </c>
      <c r="Q266" s="130">
        <v>2195567</v>
      </c>
      <c r="R266" s="130">
        <v>8223961</v>
      </c>
      <c r="S266" s="130">
        <v>11907856</v>
      </c>
      <c r="T266" s="130">
        <v>16768829</v>
      </c>
      <c r="U266" s="130">
        <v>23644993</v>
      </c>
      <c r="V266" s="130">
        <v>33107827</v>
      </c>
      <c r="W266" s="130">
        <v>21124222</v>
      </c>
      <c r="X266" s="130">
        <v>93927781</v>
      </c>
      <c r="Y266" s="130">
        <v>163104</v>
      </c>
      <c r="Z266" s="130">
        <v>991982</v>
      </c>
      <c r="AA266" s="130">
        <v>11675829</v>
      </c>
      <c r="AB266" s="130">
        <v>20444709</v>
      </c>
      <c r="AC266" s="130">
        <v>21241406</v>
      </c>
      <c r="AD266" s="130">
        <v>29398868</v>
      </c>
      <c r="AE266" s="56">
        <v>17141478</v>
      </c>
      <c r="AF266" s="56"/>
      <c r="AG266" s="56"/>
      <c r="AH266" s="56"/>
      <c r="AI266" s="56"/>
    </row>
    <row r="267" spans="1:35" x14ac:dyDescent="0.35">
      <c r="B267" s="64">
        <f>+'Option inputs'!$B$22</f>
        <v>8</v>
      </c>
      <c r="C267" s="122" t="str">
        <f>'Option inputs'!$C$22</f>
        <v>Option 3B</v>
      </c>
      <c r="D267" s="119"/>
      <c r="E267" s="68" t="s">
        <v>35</v>
      </c>
      <c r="F267" s="130"/>
      <c r="G267" s="130">
        <v>21619027</v>
      </c>
      <c r="H267" s="130">
        <v>4106981</v>
      </c>
      <c r="I267" s="130">
        <v>7629775</v>
      </c>
      <c r="J267" s="130">
        <v>10407064</v>
      </c>
      <c r="K267" s="130">
        <v>15824345</v>
      </c>
      <c r="L267" s="130">
        <v>3051</v>
      </c>
      <c r="M267" s="130">
        <v>8394249</v>
      </c>
      <c r="N267" s="130">
        <v>3385</v>
      </c>
      <c r="O267" s="130">
        <v>10646281</v>
      </c>
      <c r="P267" s="130">
        <v>3901044</v>
      </c>
      <c r="Q267" s="130">
        <v>4057</v>
      </c>
      <c r="R267" s="130">
        <v>5798440</v>
      </c>
      <c r="S267" s="130">
        <v>6098300</v>
      </c>
      <c r="T267" s="130">
        <v>14396828</v>
      </c>
      <c r="U267" s="130">
        <v>18254424</v>
      </c>
      <c r="V267" s="130">
        <v>22883506</v>
      </c>
      <c r="W267" s="130">
        <v>13581060</v>
      </c>
      <c r="X267" s="130">
        <v>75552821</v>
      </c>
      <c r="Y267" s="130">
        <v>230473</v>
      </c>
      <c r="Z267" s="130">
        <v>1707870</v>
      </c>
      <c r="AA267" s="130">
        <v>16273834</v>
      </c>
      <c r="AB267" s="130">
        <v>23508924</v>
      </c>
      <c r="AC267" s="130">
        <v>21130134</v>
      </c>
      <c r="AD267" s="130">
        <v>27483362</v>
      </c>
      <c r="AE267" s="56">
        <v>24684250</v>
      </c>
      <c r="AF267" s="56"/>
      <c r="AG267" s="56"/>
      <c r="AH267" s="56"/>
      <c r="AI267" s="56"/>
    </row>
    <row r="268" spans="1:35" x14ac:dyDescent="0.35">
      <c r="B268" s="64">
        <f>+'Option inputs'!$B$23</f>
        <v>9</v>
      </c>
      <c r="C268" s="122" t="str">
        <f>'Option inputs'!$C$23</f>
        <v>Option 3C</v>
      </c>
      <c r="D268" s="119"/>
      <c r="E268" s="68" t="s">
        <v>35</v>
      </c>
      <c r="F268" s="130"/>
      <c r="G268" s="130">
        <v>21620640</v>
      </c>
      <c r="H268" s="130">
        <v>4108666</v>
      </c>
      <c r="I268" s="130">
        <v>7631352</v>
      </c>
      <c r="J268" s="130">
        <v>14069214</v>
      </c>
      <c r="K268" s="130">
        <v>13867531</v>
      </c>
      <c r="L268" s="130">
        <v>5111</v>
      </c>
      <c r="M268" s="130">
        <v>3694864</v>
      </c>
      <c r="N268" s="130">
        <v>5654</v>
      </c>
      <c r="O268" s="130">
        <v>1240103</v>
      </c>
      <c r="P268" s="130">
        <v>3910002</v>
      </c>
      <c r="Q268" s="130">
        <v>6772</v>
      </c>
      <c r="R268" s="130">
        <v>5801299</v>
      </c>
      <c r="S268" s="130">
        <v>6093127</v>
      </c>
      <c r="T268" s="130">
        <v>14400407</v>
      </c>
      <c r="U268" s="130">
        <v>18253450</v>
      </c>
      <c r="V268" s="130">
        <v>22895509</v>
      </c>
      <c r="W268" s="130">
        <v>13583524</v>
      </c>
      <c r="X268" s="130">
        <v>75557422</v>
      </c>
      <c r="Y268" s="130">
        <v>234908</v>
      </c>
      <c r="Z268" s="130">
        <v>1712525</v>
      </c>
      <c r="AA268" s="130">
        <v>16279204</v>
      </c>
      <c r="AB268" s="130">
        <v>23513253</v>
      </c>
      <c r="AC268" s="130">
        <v>21135725</v>
      </c>
      <c r="AD268" s="130">
        <v>27489269</v>
      </c>
      <c r="AE268" s="56">
        <v>24685942</v>
      </c>
      <c r="AF268" s="56"/>
      <c r="AG268" s="56"/>
      <c r="AH268" s="56"/>
      <c r="AI268" s="56"/>
    </row>
    <row r="269" spans="1:35" x14ac:dyDescent="0.35">
      <c r="B269" s="64">
        <f>+'Option inputs'!$B$24</f>
        <v>10</v>
      </c>
      <c r="C269" s="122" t="str">
        <f>'Option inputs'!$C$24</f>
        <v>Option 4A</v>
      </c>
      <c r="D269" s="119"/>
      <c r="E269" s="68" t="s">
        <v>35</v>
      </c>
      <c r="F269" s="130"/>
      <c r="G269" s="130">
        <v>21619619</v>
      </c>
      <c r="H269" s="130">
        <v>4107607</v>
      </c>
      <c r="I269" s="130">
        <v>7630381</v>
      </c>
      <c r="J269" s="130">
        <v>10275993</v>
      </c>
      <c r="K269" s="130">
        <v>15917830</v>
      </c>
      <c r="L269" s="130">
        <v>3832</v>
      </c>
      <c r="M269" s="130">
        <v>8669894</v>
      </c>
      <c r="N269" s="130">
        <v>4255</v>
      </c>
      <c r="O269" s="130">
        <v>10621204</v>
      </c>
      <c r="P269" s="130">
        <v>17266804</v>
      </c>
      <c r="Q269" s="130">
        <v>1757548</v>
      </c>
      <c r="R269" s="130">
        <v>8562798</v>
      </c>
      <c r="S269" s="130">
        <v>13474349</v>
      </c>
      <c r="T269" s="130">
        <v>16672357</v>
      </c>
      <c r="U269" s="130">
        <v>23662414</v>
      </c>
      <c r="V269" s="130">
        <v>33171747</v>
      </c>
      <c r="W269" s="130">
        <v>22270388</v>
      </c>
      <c r="X269" s="130">
        <v>98433396</v>
      </c>
      <c r="Y269" s="130">
        <v>162881</v>
      </c>
      <c r="Z269" s="130">
        <v>962485</v>
      </c>
      <c r="AA269" s="130">
        <v>11027440</v>
      </c>
      <c r="AB269" s="130">
        <v>19536143</v>
      </c>
      <c r="AC269" s="130">
        <v>21236536</v>
      </c>
      <c r="AD269" s="130">
        <v>29294380</v>
      </c>
      <c r="AE269" s="56">
        <v>17045774</v>
      </c>
      <c r="AF269" s="56"/>
      <c r="AG269" s="56"/>
      <c r="AH269" s="56"/>
      <c r="AI269" s="56"/>
    </row>
    <row r="270" spans="1:35" x14ac:dyDescent="0.35">
      <c r="B270" s="64">
        <f>+'Option inputs'!$B$25</f>
        <v>11</v>
      </c>
      <c r="C270" s="122" t="str">
        <f>'Option inputs'!$C$25</f>
        <v>Option 4B</v>
      </c>
      <c r="D270" s="119"/>
      <c r="E270" s="68" t="s">
        <v>35</v>
      </c>
      <c r="F270" s="130"/>
      <c r="G270" s="130">
        <v>21619562</v>
      </c>
      <c r="H270" s="130">
        <v>4107543</v>
      </c>
      <c r="I270" s="130">
        <v>7630335</v>
      </c>
      <c r="J270" s="130">
        <v>11427424</v>
      </c>
      <c r="K270" s="130">
        <v>15794119</v>
      </c>
      <c r="L270" s="130">
        <v>3761</v>
      </c>
      <c r="M270" s="130">
        <v>5093878</v>
      </c>
      <c r="N270" s="130">
        <v>4174</v>
      </c>
      <c r="O270" s="130">
        <v>9094117</v>
      </c>
      <c r="P270" s="130">
        <v>1858944</v>
      </c>
      <c r="Q270" s="130">
        <v>5006</v>
      </c>
      <c r="R270" s="130">
        <v>5023298</v>
      </c>
      <c r="S270" s="130">
        <v>4978384</v>
      </c>
      <c r="T270" s="130">
        <v>14489495</v>
      </c>
      <c r="U270" s="130">
        <v>19424012</v>
      </c>
      <c r="V270" s="130">
        <v>20356065</v>
      </c>
      <c r="W270" s="130">
        <v>12170744</v>
      </c>
      <c r="X270" s="130">
        <v>63628074</v>
      </c>
      <c r="Y270" s="130">
        <v>318506</v>
      </c>
      <c r="Z270" s="130">
        <v>2358887</v>
      </c>
      <c r="AA270" s="130">
        <v>18153473</v>
      </c>
      <c r="AB270" s="130">
        <v>26717870</v>
      </c>
      <c r="AC270" s="130">
        <v>21154945</v>
      </c>
      <c r="AD270" s="130">
        <v>27606507</v>
      </c>
      <c r="AE270" s="56">
        <v>34622636</v>
      </c>
      <c r="AF270" s="56"/>
      <c r="AG270" s="56"/>
      <c r="AH270" s="56"/>
      <c r="AI270" s="56"/>
    </row>
    <row r="271" spans="1:35" x14ac:dyDescent="0.35">
      <c r="B271" s="64">
        <f>+'Option inputs'!$B$26</f>
        <v>12</v>
      </c>
      <c r="C271" s="122" t="str">
        <f>'Option inputs'!$C$26</f>
        <v>Option 4C</v>
      </c>
      <c r="D271" s="119"/>
      <c r="E271" s="68" t="s">
        <v>35</v>
      </c>
      <c r="F271" s="130"/>
      <c r="G271" s="130">
        <v>21617110</v>
      </c>
      <c r="H271" s="130">
        <v>4104941</v>
      </c>
      <c r="I271" s="130">
        <v>7627754</v>
      </c>
      <c r="J271" s="130">
        <v>14065173</v>
      </c>
      <c r="K271" s="130">
        <v>13863115</v>
      </c>
      <c r="L271" s="130">
        <v>471</v>
      </c>
      <c r="M271" s="130">
        <v>3295302</v>
      </c>
      <c r="N271" s="130">
        <v>528</v>
      </c>
      <c r="O271" s="130">
        <v>58724</v>
      </c>
      <c r="P271" s="130">
        <v>2003264</v>
      </c>
      <c r="Q271" s="130">
        <v>638</v>
      </c>
      <c r="R271" s="130">
        <v>5018551</v>
      </c>
      <c r="S271" s="130">
        <v>4973237</v>
      </c>
      <c r="T271" s="130">
        <v>14481605</v>
      </c>
      <c r="U271" s="130">
        <v>19415284</v>
      </c>
      <c r="V271" s="130">
        <v>20422836</v>
      </c>
      <c r="W271" s="130">
        <v>12187958</v>
      </c>
      <c r="X271" s="130">
        <v>63620642</v>
      </c>
      <c r="Y271" s="130">
        <v>311212</v>
      </c>
      <c r="Z271" s="130">
        <v>2345390</v>
      </c>
      <c r="AA271" s="130">
        <v>18132543</v>
      </c>
      <c r="AB271" s="130">
        <v>26722168</v>
      </c>
      <c r="AC271" s="130">
        <v>21145783</v>
      </c>
      <c r="AD271" s="130">
        <v>27597978</v>
      </c>
      <c r="AE271" s="56">
        <v>34618055</v>
      </c>
      <c r="AF271" s="56"/>
      <c r="AG271" s="56"/>
      <c r="AH271" s="56"/>
      <c r="AI271" s="56"/>
    </row>
    <row r="272" spans="1:35" x14ac:dyDescent="0.35">
      <c r="D272" s="70"/>
      <c r="E272" s="66"/>
      <c r="AF272" s="46"/>
      <c r="AG272" s="46"/>
      <c r="AH272" s="46"/>
      <c r="AI272" s="46"/>
    </row>
    <row r="273" spans="2:35" x14ac:dyDescent="0.35">
      <c r="B273" s="59" t="s">
        <v>14</v>
      </c>
      <c r="C273" s="59" t="s">
        <v>13</v>
      </c>
      <c r="D273" s="80" t="str">
        <f>'Interface and charts'!$J$6</f>
        <v>Step change</v>
      </c>
      <c r="E273" s="63" t="s">
        <v>7</v>
      </c>
      <c r="F273" s="171" t="str">
        <f>Calculation!G$56</f>
        <v>FY 2019-20</v>
      </c>
      <c r="G273" s="171" t="str">
        <f>Calculation!H$56</f>
        <v>FY 2020-21</v>
      </c>
      <c r="H273" s="171" t="str">
        <f>Calculation!I$56</f>
        <v>FY 2021-22</v>
      </c>
      <c r="I273" s="171" t="str">
        <f>Calculation!J$56</f>
        <v>FY 2022-23</v>
      </c>
      <c r="J273" s="171" t="str">
        <f>Calculation!K$56</f>
        <v>FY 2023-24</v>
      </c>
      <c r="K273" s="171" t="str">
        <f>Calculation!L$56</f>
        <v>FY 2024-25</v>
      </c>
      <c r="L273" s="171" t="str">
        <f>Calculation!M$56</f>
        <v>FY 2025-26</v>
      </c>
      <c r="M273" s="171" t="str">
        <f>Calculation!N$56</f>
        <v>FY 2026-27</v>
      </c>
      <c r="N273" s="171" t="str">
        <f>Calculation!O$56</f>
        <v>FY 2027-28</v>
      </c>
      <c r="O273" s="171" t="str">
        <f>Calculation!P$56</f>
        <v>FY 2028-29</v>
      </c>
      <c r="P273" s="171" t="str">
        <f>Calculation!Q$56</f>
        <v>FY 2029-30</v>
      </c>
      <c r="Q273" s="171" t="str">
        <f>Calculation!R$56</f>
        <v>FY 2030-31</v>
      </c>
      <c r="R273" s="171" t="str">
        <f>Calculation!S$56</f>
        <v>FY 2031-32</v>
      </c>
      <c r="S273" s="171" t="str">
        <f>Calculation!T$56</f>
        <v>FY 2032-33</v>
      </c>
      <c r="T273" s="171" t="str">
        <f>Calculation!U$56</f>
        <v>FY 2033-34</v>
      </c>
      <c r="U273" s="171" t="str">
        <f>Calculation!V$56</f>
        <v>FY 2034-35</v>
      </c>
      <c r="V273" s="171" t="str">
        <f>Calculation!W$56</f>
        <v>FY 2035-36</v>
      </c>
      <c r="W273" s="171" t="str">
        <f>Calculation!X$56</f>
        <v>FY 2036-37</v>
      </c>
      <c r="X273" s="171" t="str">
        <f>Calculation!Y$56</f>
        <v>FY 2037-38</v>
      </c>
      <c r="Y273" s="171" t="str">
        <f>Calculation!Z$56</f>
        <v>FY 2038-39</v>
      </c>
      <c r="Z273" s="171" t="str">
        <f>Calculation!AA$56</f>
        <v>FY 2039-40</v>
      </c>
      <c r="AA273" s="171" t="str">
        <f>Calculation!AB$56</f>
        <v>FY 2040-41</v>
      </c>
      <c r="AB273" s="171" t="str">
        <f>Calculation!AC$56</f>
        <v>FY 2041-42</v>
      </c>
      <c r="AC273" s="171" t="str">
        <f>Calculation!AD$56</f>
        <v>FY 2042-43</v>
      </c>
      <c r="AD273" s="171" t="str">
        <f>Calculation!AE$56</f>
        <v>FY 2043-44</v>
      </c>
      <c r="AE273" s="171" t="str">
        <f>Calculation!AF$56</f>
        <v>FY 2044-45</v>
      </c>
      <c r="AF273" s="171" t="str">
        <f>Calculation!AG$56</f>
        <v>FY 2045-46</v>
      </c>
      <c r="AG273" s="171" t="str">
        <f>Calculation!AH$56</f>
        <v>FY 2046-47</v>
      </c>
      <c r="AH273" s="171" t="str">
        <f>Calculation!AI$56</f>
        <v>FY 2047-48</v>
      </c>
      <c r="AI273" s="171" t="str">
        <f>Calculation!AJ$56</f>
        <v>FY 2048-49</v>
      </c>
    </row>
    <row r="274" spans="2:35" x14ac:dyDescent="0.35">
      <c r="B274" s="9">
        <v>0</v>
      </c>
      <c r="C274" s="123" t="str">
        <f>'Option inputs'!$C$14</f>
        <v>Base case</v>
      </c>
      <c r="D274" s="62"/>
      <c r="E274" s="68" t="s">
        <v>35</v>
      </c>
      <c r="F274" s="151"/>
      <c r="G274" s="151">
        <v>24098193</v>
      </c>
      <c r="H274" s="151">
        <v>4286530</v>
      </c>
      <c r="I274" s="151">
        <v>7629967</v>
      </c>
      <c r="J274" s="151">
        <v>7476365</v>
      </c>
      <c r="K274" s="151">
        <v>40442142</v>
      </c>
      <c r="L274" s="151">
        <v>1843846</v>
      </c>
      <c r="M274" s="151">
        <v>52636656</v>
      </c>
      <c r="N274" s="151">
        <v>128148</v>
      </c>
      <c r="O274" s="151">
        <v>25293564</v>
      </c>
      <c r="P274" s="151">
        <v>8720925</v>
      </c>
      <c r="Q274" s="151">
        <v>14584588</v>
      </c>
      <c r="R274" s="151">
        <v>9335017</v>
      </c>
      <c r="S274" s="151">
        <v>22398993</v>
      </c>
      <c r="T274" s="151">
        <v>28059261</v>
      </c>
      <c r="U274" s="151">
        <v>37075730</v>
      </c>
      <c r="V274" s="151">
        <v>54198141</v>
      </c>
      <c r="W274" s="151">
        <v>20312575</v>
      </c>
      <c r="X274" s="151">
        <v>171489274</v>
      </c>
      <c r="Y274" s="151">
        <v>1555717</v>
      </c>
      <c r="Z274" s="151">
        <v>11652966</v>
      </c>
      <c r="AA274" s="151">
        <v>2779465</v>
      </c>
      <c r="AB274" s="151">
        <v>9184891</v>
      </c>
      <c r="AC274" s="151">
        <v>20258836</v>
      </c>
      <c r="AD274" s="151">
        <v>33725924</v>
      </c>
      <c r="AE274" s="151">
        <v>50639172</v>
      </c>
      <c r="AF274" s="151"/>
      <c r="AG274" s="151"/>
      <c r="AH274" s="151"/>
      <c r="AI274" s="151"/>
    </row>
    <row r="275" spans="2:35" x14ac:dyDescent="0.35">
      <c r="B275" s="9">
        <v>1</v>
      </c>
      <c r="C275" s="122" t="str">
        <f>'Option inputs'!$C$15</f>
        <v>Option 1A</v>
      </c>
      <c r="D275" s="62"/>
      <c r="E275" s="68" t="s">
        <v>35</v>
      </c>
      <c r="F275" s="151"/>
      <c r="G275" s="151">
        <v>24095181</v>
      </c>
      <c r="H275" s="151">
        <v>4283360</v>
      </c>
      <c r="I275" s="151">
        <v>7626843</v>
      </c>
      <c r="J275" s="151">
        <v>7472712</v>
      </c>
      <c r="K275" s="151">
        <v>37879507</v>
      </c>
      <c r="L275" s="151">
        <v>170</v>
      </c>
      <c r="M275" s="151">
        <v>50094039</v>
      </c>
      <c r="N275" s="151">
        <v>187</v>
      </c>
      <c r="O275" s="151">
        <v>21290751</v>
      </c>
      <c r="P275" s="151">
        <v>4781221</v>
      </c>
      <c r="Q275" s="151">
        <v>9862962</v>
      </c>
      <c r="R275" s="151">
        <v>5929561</v>
      </c>
      <c r="S275" s="151">
        <v>8500012</v>
      </c>
      <c r="T275" s="151">
        <v>24746577</v>
      </c>
      <c r="U275" s="151">
        <v>27448057</v>
      </c>
      <c r="V275" s="151">
        <v>40358277</v>
      </c>
      <c r="W275" s="151">
        <v>8348233</v>
      </c>
      <c r="X275" s="151">
        <v>149014302</v>
      </c>
      <c r="Y275" s="151">
        <v>2061388</v>
      </c>
      <c r="Z275" s="151">
        <v>10019241</v>
      </c>
      <c r="AA275" s="151">
        <v>3100497</v>
      </c>
      <c r="AB275" s="151">
        <v>5513271</v>
      </c>
      <c r="AC275" s="151">
        <v>17300804</v>
      </c>
      <c r="AD275" s="151">
        <v>18212501</v>
      </c>
      <c r="AE275" s="151">
        <v>56842971</v>
      </c>
      <c r="AF275" s="151"/>
      <c r="AG275" s="151"/>
      <c r="AH275" s="151"/>
      <c r="AI275" s="151"/>
    </row>
    <row r="276" spans="2:35" x14ac:dyDescent="0.35">
      <c r="B276" s="9">
        <v>2</v>
      </c>
      <c r="C276" s="122" t="str">
        <f>'Option inputs'!$C$16</f>
        <v>Option 1B</v>
      </c>
      <c r="D276" s="62"/>
      <c r="E276" s="68" t="s">
        <v>35</v>
      </c>
      <c r="F276" s="151"/>
      <c r="G276" s="151">
        <v>24095638</v>
      </c>
      <c r="H276" s="151">
        <v>4283843</v>
      </c>
      <c r="I276" s="151">
        <v>7627262</v>
      </c>
      <c r="J276" s="151">
        <v>7473255</v>
      </c>
      <c r="K276" s="151">
        <v>40553818</v>
      </c>
      <c r="L276" s="151">
        <v>824</v>
      </c>
      <c r="M276" s="151">
        <v>23322637</v>
      </c>
      <c r="N276" s="151">
        <v>907</v>
      </c>
      <c r="O276" s="151">
        <v>12359349</v>
      </c>
      <c r="P276" s="151">
        <v>4900098</v>
      </c>
      <c r="Q276" s="151">
        <v>6439753</v>
      </c>
      <c r="R276" s="151">
        <v>2918365</v>
      </c>
      <c r="S276" s="151">
        <v>5120454</v>
      </c>
      <c r="T276" s="151">
        <v>18660863</v>
      </c>
      <c r="U276" s="151">
        <v>26664368</v>
      </c>
      <c r="V276" s="151">
        <v>36601485</v>
      </c>
      <c r="W276" s="151">
        <v>6464017</v>
      </c>
      <c r="X276" s="151">
        <v>102649769</v>
      </c>
      <c r="Y276" s="151">
        <v>860350</v>
      </c>
      <c r="Z276" s="151">
        <v>6347573</v>
      </c>
      <c r="AA276" s="151">
        <v>3027318</v>
      </c>
      <c r="AB276" s="151">
        <v>3495663</v>
      </c>
      <c r="AC276" s="151">
        <v>6324331</v>
      </c>
      <c r="AD276" s="151">
        <v>6220352</v>
      </c>
      <c r="AE276" s="151">
        <v>52917858</v>
      </c>
      <c r="AF276" s="151"/>
      <c r="AG276" s="151"/>
      <c r="AH276" s="151"/>
      <c r="AI276" s="151"/>
    </row>
    <row r="277" spans="2:35" x14ac:dyDescent="0.35">
      <c r="B277" s="9">
        <v>3</v>
      </c>
      <c r="C277" s="122" t="str">
        <f>'Option inputs'!$C$17</f>
        <v>Option 1C</v>
      </c>
      <c r="D277" s="62"/>
      <c r="E277" s="68" t="s">
        <v>35</v>
      </c>
      <c r="F277" s="151"/>
      <c r="G277" s="151">
        <v>24095478</v>
      </c>
      <c r="H277" s="151">
        <v>4283674</v>
      </c>
      <c r="I277" s="151">
        <v>7627115</v>
      </c>
      <c r="J277" s="151">
        <v>7473065</v>
      </c>
      <c r="K277" s="151">
        <v>49915384</v>
      </c>
      <c r="L277" s="151">
        <v>595</v>
      </c>
      <c r="M277" s="151">
        <v>23651972</v>
      </c>
      <c r="N277" s="151">
        <v>656</v>
      </c>
      <c r="O277" s="151">
        <v>12333071</v>
      </c>
      <c r="P277" s="151">
        <v>4906739</v>
      </c>
      <c r="Q277" s="151">
        <v>6436247</v>
      </c>
      <c r="R277" s="151">
        <v>2916475</v>
      </c>
      <c r="S277" s="151">
        <v>5121134</v>
      </c>
      <c r="T277" s="151">
        <v>18659215</v>
      </c>
      <c r="U277" s="151">
        <v>26665931</v>
      </c>
      <c r="V277" s="151">
        <v>36579410</v>
      </c>
      <c r="W277" s="151">
        <v>6464820</v>
      </c>
      <c r="X277" s="151">
        <v>102650436</v>
      </c>
      <c r="Y277" s="151">
        <v>859851</v>
      </c>
      <c r="Z277" s="151">
        <v>6347013</v>
      </c>
      <c r="AA277" s="151">
        <v>3026719</v>
      </c>
      <c r="AB277" s="151">
        <v>3495175</v>
      </c>
      <c r="AC277" s="151">
        <v>6323632</v>
      </c>
      <c r="AD277" s="151">
        <v>6219789</v>
      </c>
      <c r="AE277" s="151">
        <v>52917177</v>
      </c>
      <c r="AF277" s="151"/>
      <c r="AG277" s="151"/>
      <c r="AH277" s="151"/>
      <c r="AI277" s="151"/>
    </row>
    <row r="278" spans="2:35" x14ac:dyDescent="0.35">
      <c r="B278" s="9">
        <v>4</v>
      </c>
      <c r="C278" s="122" t="str">
        <f>'Option inputs'!$C$18</f>
        <v>Option 2A</v>
      </c>
      <c r="D278" s="62"/>
      <c r="E278" s="68" t="s">
        <v>35</v>
      </c>
      <c r="F278" s="151"/>
      <c r="G278" s="151">
        <v>24095229</v>
      </c>
      <c r="H278" s="151">
        <v>4283411</v>
      </c>
      <c r="I278" s="151">
        <v>7626886</v>
      </c>
      <c r="J278" s="151">
        <v>7472771</v>
      </c>
      <c r="K278" s="151">
        <v>22668754</v>
      </c>
      <c r="L278" s="151">
        <v>6646</v>
      </c>
      <c r="M278" s="151">
        <v>48740956</v>
      </c>
      <c r="N278" s="151">
        <v>105844</v>
      </c>
      <c r="O278" s="151">
        <v>20103299</v>
      </c>
      <c r="P278" s="151">
        <v>6192918</v>
      </c>
      <c r="Q278" s="151">
        <v>7187662</v>
      </c>
      <c r="R278" s="151">
        <v>5384445</v>
      </c>
      <c r="S278" s="151">
        <v>10613603</v>
      </c>
      <c r="T278" s="151">
        <v>20562563</v>
      </c>
      <c r="U278" s="151">
        <v>28343577</v>
      </c>
      <c r="V278" s="151">
        <v>39070218</v>
      </c>
      <c r="W278" s="151">
        <v>10058550</v>
      </c>
      <c r="X278" s="151">
        <v>158324049</v>
      </c>
      <c r="Y278" s="151">
        <v>2026766</v>
      </c>
      <c r="Z278" s="151">
        <v>15301718</v>
      </c>
      <c r="AA278" s="151">
        <v>4232127</v>
      </c>
      <c r="AB278" s="151">
        <v>16370188</v>
      </c>
      <c r="AC278" s="151">
        <v>19375417</v>
      </c>
      <c r="AD278" s="151">
        <v>26351058</v>
      </c>
      <c r="AE278" s="151">
        <v>53515297</v>
      </c>
      <c r="AF278" s="151"/>
      <c r="AG278" s="151"/>
      <c r="AH278" s="151"/>
      <c r="AI278" s="151"/>
    </row>
    <row r="279" spans="2:35" x14ac:dyDescent="0.35">
      <c r="B279" s="9">
        <v>5</v>
      </c>
      <c r="C279" s="122" t="str">
        <f>'Option inputs'!$C$19</f>
        <v>Option 2B</v>
      </c>
      <c r="D279" s="62"/>
      <c r="E279" s="68" t="s">
        <v>35</v>
      </c>
      <c r="F279" s="151"/>
      <c r="G279" s="151">
        <v>24099086</v>
      </c>
      <c r="H279" s="151">
        <v>4287466</v>
      </c>
      <c r="I279" s="151">
        <v>7630827</v>
      </c>
      <c r="J279" s="151">
        <v>7477462</v>
      </c>
      <c r="K279" s="151">
        <v>23415453</v>
      </c>
      <c r="L279" s="151">
        <v>5667</v>
      </c>
      <c r="M279" s="151">
        <v>24481183</v>
      </c>
      <c r="N279" s="151">
        <v>6215</v>
      </c>
      <c r="O279" s="151">
        <v>14499365</v>
      </c>
      <c r="P279" s="151">
        <v>4053054</v>
      </c>
      <c r="Q279" s="151">
        <v>4828822</v>
      </c>
      <c r="R279" s="151">
        <v>2144851</v>
      </c>
      <c r="S279" s="151">
        <v>5045149</v>
      </c>
      <c r="T279" s="151">
        <v>20691333</v>
      </c>
      <c r="U279" s="151">
        <v>26164265</v>
      </c>
      <c r="V279" s="151">
        <v>40709487</v>
      </c>
      <c r="W279" s="151">
        <v>7069804</v>
      </c>
      <c r="X279" s="151">
        <v>134336180</v>
      </c>
      <c r="Y279" s="151">
        <v>1075059</v>
      </c>
      <c r="Z279" s="151">
        <v>8767984</v>
      </c>
      <c r="AA279" s="151">
        <v>10436556</v>
      </c>
      <c r="AB279" s="151">
        <v>6710631</v>
      </c>
      <c r="AC279" s="151">
        <v>14185376</v>
      </c>
      <c r="AD279" s="151">
        <v>18251213</v>
      </c>
      <c r="AE279" s="151">
        <v>57639291</v>
      </c>
      <c r="AF279" s="151"/>
      <c r="AG279" s="151"/>
      <c r="AH279" s="151"/>
      <c r="AI279" s="151"/>
    </row>
    <row r="280" spans="2:35" x14ac:dyDescent="0.35">
      <c r="B280" s="9">
        <v>6</v>
      </c>
      <c r="C280" s="122" t="str">
        <f>'Option inputs'!$C$20</f>
        <v>Option 2C</v>
      </c>
      <c r="D280" s="62"/>
      <c r="E280" s="68" t="s">
        <v>35</v>
      </c>
      <c r="F280" s="151"/>
      <c r="G280" s="151">
        <v>24099447</v>
      </c>
      <c r="H280" s="151">
        <v>4287860</v>
      </c>
      <c r="I280" s="151">
        <v>7631065</v>
      </c>
      <c r="J280" s="151">
        <v>7477884</v>
      </c>
      <c r="K280" s="151">
        <v>21592331</v>
      </c>
      <c r="L280" s="151">
        <v>6263</v>
      </c>
      <c r="M280" s="151">
        <v>24715968</v>
      </c>
      <c r="N280" s="151">
        <v>6897</v>
      </c>
      <c r="O280" s="151">
        <v>14329447</v>
      </c>
      <c r="P280" s="151">
        <v>4051107</v>
      </c>
      <c r="Q280" s="151">
        <v>4829624</v>
      </c>
      <c r="R280" s="151">
        <v>2145684</v>
      </c>
      <c r="S280" s="151">
        <v>5045817</v>
      </c>
      <c r="T280" s="151">
        <v>20694321</v>
      </c>
      <c r="U280" s="151">
        <v>26168269</v>
      </c>
      <c r="V280" s="151">
        <v>40735935</v>
      </c>
      <c r="W280" s="151">
        <v>7080384</v>
      </c>
      <c r="X280" s="151">
        <v>134336862</v>
      </c>
      <c r="Y280" s="151">
        <v>1076452</v>
      </c>
      <c r="Z280" s="151">
        <v>8769389</v>
      </c>
      <c r="AA280" s="151">
        <v>10430036</v>
      </c>
      <c r="AB280" s="151">
        <v>6715128</v>
      </c>
      <c r="AC280" s="151">
        <v>14187843</v>
      </c>
      <c r="AD280" s="151">
        <v>18254251</v>
      </c>
      <c r="AE280" s="151">
        <v>57638834</v>
      </c>
      <c r="AF280" s="151"/>
      <c r="AG280" s="151"/>
      <c r="AH280" s="151"/>
      <c r="AI280" s="151"/>
    </row>
    <row r="281" spans="2:35" x14ac:dyDescent="0.35">
      <c r="B281" s="9">
        <v>7</v>
      </c>
      <c r="C281" s="122" t="str">
        <f>'Option inputs'!$C$21</f>
        <v>Option 3A</v>
      </c>
      <c r="D281" s="62"/>
      <c r="E281" s="68" t="s">
        <v>35</v>
      </c>
      <c r="F281" s="130"/>
      <c r="G281" s="130">
        <v>24095580</v>
      </c>
      <c r="H281" s="151">
        <v>4283781</v>
      </c>
      <c r="I281" s="151">
        <v>7627204</v>
      </c>
      <c r="J281" s="151">
        <v>7473181</v>
      </c>
      <c r="K281" s="151">
        <v>24022733</v>
      </c>
      <c r="L281" s="151">
        <v>741</v>
      </c>
      <c r="M281" s="151">
        <v>50027087</v>
      </c>
      <c r="N281" s="151">
        <v>39148</v>
      </c>
      <c r="O281" s="151">
        <v>20787048</v>
      </c>
      <c r="P281" s="151">
        <v>5380819</v>
      </c>
      <c r="Q281" s="151">
        <v>12944530</v>
      </c>
      <c r="R281" s="151">
        <v>6817750</v>
      </c>
      <c r="S281" s="151">
        <v>7430037</v>
      </c>
      <c r="T281" s="151">
        <v>26343321</v>
      </c>
      <c r="U281" s="151">
        <v>28651478</v>
      </c>
      <c r="V281" s="151">
        <v>43726930</v>
      </c>
      <c r="W281" s="151">
        <v>10973342</v>
      </c>
      <c r="X281" s="151">
        <v>167399676</v>
      </c>
      <c r="Y281" s="151">
        <v>2970578</v>
      </c>
      <c r="Z281" s="151">
        <v>11991212</v>
      </c>
      <c r="AA281" s="151">
        <v>3502541</v>
      </c>
      <c r="AB281" s="151">
        <v>6908820</v>
      </c>
      <c r="AC281" s="151">
        <v>22136130</v>
      </c>
      <c r="AD281" s="151">
        <v>22095388</v>
      </c>
      <c r="AE281" s="151">
        <v>52214210</v>
      </c>
      <c r="AF281" s="151"/>
      <c r="AG281" s="151"/>
      <c r="AH281" s="151"/>
      <c r="AI281" s="151"/>
    </row>
    <row r="282" spans="2:35" x14ac:dyDescent="0.35">
      <c r="B282" s="64">
        <f>+'Option inputs'!$B$22</f>
        <v>8</v>
      </c>
      <c r="C282" s="122" t="str">
        <f>'Option inputs'!$C$22</f>
        <v>Option 3B</v>
      </c>
      <c r="D282" s="62"/>
      <c r="E282" s="68" t="s">
        <v>35</v>
      </c>
      <c r="F282" s="130"/>
      <c r="G282" s="130">
        <v>24097072</v>
      </c>
      <c r="H282" s="151">
        <v>4285347</v>
      </c>
      <c r="I282" s="151">
        <v>7628786</v>
      </c>
      <c r="J282" s="151">
        <v>7475010</v>
      </c>
      <c r="K282" s="151">
        <v>23865509</v>
      </c>
      <c r="L282" s="151">
        <v>2808</v>
      </c>
      <c r="M282" s="151">
        <v>24051580</v>
      </c>
      <c r="N282" s="151">
        <v>3082</v>
      </c>
      <c r="O282" s="151">
        <v>14619294</v>
      </c>
      <c r="P282" s="151">
        <v>4362407</v>
      </c>
      <c r="Q282" s="151">
        <v>4818384</v>
      </c>
      <c r="R282" s="151">
        <v>2213691</v>
      </c>
      <c r="S282" s="151">
        <v>4965831</v>
      </c>
      <c r="T282" s="151">
        <v>20861911</v>
      </c>
      <c r="U282" s="151">
        <v>26407435</v>
      </c>
      <c r="V282" s="151">
        <v>41784796</v>
      </c>
      <c r="W282" s="151">
        <v>6993527</v>
      </c>
      <c r="X282" s="151">
        <v>134152984</v>
      </c>
      <c r="Y282" s="151">
        <v>1056799</v>
      </c>
      <c r="Z282" s="151">
        <v>8648747</v>
      </c>
      <c r="AA282" s="151">
        <v>10200922</v>
      </c>
      <c r="AB282" s="151">
        <v>6510590</v>
      </c>
      <c r="AC282" s="151">
        <v>13701719</v>
      </c>
      <c r="AD282" s="151">
        <v>17616208</v>
      </c>
      <c r="AE282" s="151">
        <v>57298310</v>
      </c>
      <c r="AF282" s="151"/>
      <c r="AG282" s="151"/>
      <c r="AH282" s="151"/>
      <c r="AI282" s="151"/>
    </row>
    <row r="283" spans="2:35" x14ac:dyDescent="0.35">
      <c r="B283" s="64">
        <f>+'Option inputs'!$B$23</f>
        <v>9</v>
      </c>
      <c r="C283" s="122" t="str">
        <f>'Option inputs'!$C$23</f>
        <v>Option 3C</v>
      </c>
      <c r="D283" s="62"/>
      <c r="E283" s="68" t="s">
        <v>35</v>
      </c>
      <c r="F283" s="130"/>
      <c r="G283" s="130">
        <v>24099181</v>
      </c>
      <c r="H283" s="151">
        <v>4287559</v>
      </c>
      <c r="I283" s="151">
        <v>7630962</v>
      </c>
      <c r="J283" s="151">
        <v>7477577</v>
      </c>
      <c r="K283" s="151">
        <v>22688755</v>
      </c>
      <c r="L283" s="151">
        <v>5775</v>
      </c>
      <c r="M283" s="151">
        <v>24453923</v>
      </c>
      <c r="N283" s="151">
        <v>6299</v>
      </c>
      <c r="O283" s="151">
        <v>14368182</v>
      </c>
      <c r="P283" s="151">
        <v>4361519</v>
      </c>
      <c r="Q283" s="151">
        <v>4822213</v>
      </c>
      <c r="R283" s="151">
        <v>2211411</v>
      </c>
      <c r="S283" s="151">
        <v>4970814</v>
      </c>
      <c r="T283" s="151">
        <v>20882790</v>
      </c>
      <c r="U283" s="151">
        <v>26433824</v>
      </c>
      <c r="V283" s="151">
        <v>41784847</v>
      </c>
      <c r="W283" s="151">
        <v>7013963</v>
      </c>
      <c r="X283" s="151">
        <v>134160872</v>
      </c>
      <c r="Y283" s="151">
        <v>1062736</v>
      </c>
      <c r="Z283" s="151">
        <v>8655105</v>
      </c>
      <c r="AA283" s="151">
        <v>10205174</v>
      </c>
      <c r="AB283" s="151">
        <v>6521280</v>
      </c>
      <c r="AC283" s="151">
        <v>13711853</v>
      </c>
      <c r="AD283" s="151">
        <v>17625841</v>
      </c>
      <c r="AE283" s="151">
        <v>57306582</v>
      </c>
      <c r="AF283" s="151"/>
      <c r="AG283" s="151"/>
      <c r="AH283" s="151"/>
      <c r="AI283" s="151"/>
    </row>
    <row r="284" spans="2:35" x14ac:dyDescent="0.35">
      <c r="B284" s="64">
        <f>+'Option inputs'!$B$24</f>
        <v>10</v>
      </c>
      <c r="C284" s="122" t="str">
        <f>'Option inputs'!$C$24</f>
        <v>Option 4A</v>
      </c>
      <c r="D284" s="62"/>
      <c r="E284" s="68" t="s">
        <v>35</v>
      </c>
      <c r="F284" s="130"/>
      <c r="G284" s="130">
        <v>24095152</v>
      </c>
      <c r="H284" s="151">
        <v>4283330</v>
      </c>
      <c r="I284" s="151">
        <v>7626816</v>
      </c>
      <c r="J284" s="151">
        <v>7472680</v>
      </c>
      <c r="K284" s="151">
        <v>24082914</v>
      </c>
      <c r="L284" s="151">
        <v>130</v>
      </c>
      <c r="M284" s="151">
        <v>49990081</v>
      </c>
      <c r="N284" s="151">
        <v>42336</v>
      </c>
      <c r="O284" s="151">
        <v>20684344</v>
      </c>
      <c r="P284" s="151">
        <v>5743590</v>
      </c>
      <c r="Q284" s="151">
        <v>12602689</v>
      </c>
      <c r="R284" s="151">
        <v>6986945</v>
      </c>
      <c r="S284" s="151">
        <v>7432007</v>
      </c>
      <c r="T284" s="151">
        <v>26465294</v>
      </c>
      <c r="U284" s="151">
        <v>28632400</v>
      </c>
      <c r="V284" s="151">
        <v>43131049</v>
      </c>
      <c r="W284" s="151">
        <v>10991235</v>
      </c>
      <c r="X284" s="151">
        <v>166016094</v>
      </c>
      <c r="Y284" s="151">
        <v>2837902</v>
      </c>
      <c r="Z284" s="151">
        <v>11966456</v>
      </c>
      <c r="AA284" s="151">
        <v>3295309</v>
      </c>
      <c r="AB284" s="151">
        <v>6624913</v>
      </c>
      <c r="AC284" s="151">
        <v>21446602</v>
      </c>
      <c r="AD284" s="151">
        <v>21840555</v>
      </c>
      <c r="AE284" s="151">
        <v>51115742</v>
      </c>
      <c r="AF284" s="151"/>
      <c r="AG284" s="151"/>
      <c r="AH284" s="151"/>
      <c r="AI284" s="151"/>
    </row>
    <row r="285" spans="2:35" x14ac:dyDescent="0.35">
      <c r="B285" s="64">
        <f>+'Option inputs'!$B$25</f>
        <v>11</v>
      </c>
      <c r="C285" s="122" t="str">
        <f>'Option inputs'!$C$25</f>
        <v>Option 4B</v>
      </c>
      <c r="D285" s="62"/>
      <c r="E285" s="68" t="s">
        <v>35</v>
      </c>
      <c r="F285" s="130"/>
      <c r="G285" s="130">
        <v>24095544</v>
      </c>
      <c r="H285" s="151">
        <v>4283744</v>
      </c>
      <c r="I285" s="151">
        <v>7627172</v>
      </c>
      <c r="J285" s="151">
        <v>7473147</v>
      </c>
      <c r="K285" s="151">
        <v>23770249</v>
      </c>
      <c r="L285" s="151">
        <v>689</v>
      </c>
      <c r="M285" s="151">
        <v>12199302</v>
      </c>
      <c r="N285" s="151">
        <v>759</v>
      </c>
      <c r="O285" s="151">
        <v>6437045</v>
      </c>
      <c r="P285" s="151">
        <v>4323745</v>
      </c>
      <c r="Q285" s="151">
        <v>4225316</v>
      </c>
      <c r="R285" s="151">
        <v>2101561</v>
      </c>
      <c r="S285" s="151">
        <v>5129995</v>
      </c>
      <c r="T285" s="151">
        <v>19788104</v>
      </c>
      <c r="U285" s="151">
        <v>24988875</v>
      </c>
      <c r="V285" s="151">
        <v>38957983</v>
      </c>
      <c r="W285" s="151">
        <v>6094774</v>
      </c>
      <c r="X285" s="151">
        <v>87303832</v>
      </c>
      <c r="Y285" s="151">
        <v>693426</v>
      </c>
      <c r="Z285" s="151">
        <v>6355371</v>
      </c>
      <c r="AA285" s="151">
        <v>11581055</v>
      </c>
      <c r="AB285" s="151">
        <v>5690301</v>
      </c>
      <c r="AC285" s="151">
        <v>8046599</v>
      </c>
      <c r="AD285" s="151">
        <v>12257675</v>
      </c>
      <c r="AE285" s="151">
        <v>55461579</v>
      </c>
      <c r="AF285" s="151"/>
      <c r="AG285" s="151"/>
      <c r="AH285" s="151"/>
      <c r="AI285" s="151"/>
    </row>
    <row r="286" spans="2:35" x14ac:dyDescent="0.35">
      <c r="B286" s="64">
        <f>+'Option inputs'!$B$26</f>
        <v>12</v>
      </c>
      <c r="C286" s="122" t="str">
        <f>'Option inputs'!$C$26</f>
        <v>Option 4C</v>
      </c>
      <c r="D286" s="62"/>
      <c r="E286" s="68" t="s">
        <v>35</v>
      </c>
      <c r="F286" s="130"/>
      <c r="G286" s="130">
        <v>24098206</v>
      </c>
      <c r="H286" s="151">
        <v>4286427</v>
      </c>
      <c r="I286" s="151">
        <v>7629736</v>
      </c>
      <c r="J286" s="151">
        <v>7476103</v>
      </c>
      <c r="K286" s="151">
        <v>22864377</v>
      </c>
      <c r="L286" s="151">
        <v>3997</v>
      </c>
      <c r="M286" s="151">
        <v>12740406</v>
      </c>
      <c r="N286" s="151">
        <v>4289</v>
      </c>
      <c r="O286" s="151">
        <v>6195840</v>
      </c>
      <c r="P286" s="151">
        <v>4321060</v>
      </c>
      <c r="Q286" s="151">
        <v>4232538</v>
      </c>
      <c r="R286" s="151">
        <v>2105802</v>
      </c>
      <c r="S286" s="151">
        <v>5135462</v>
      </c>
      <c r="T286" s="151">
        <v>19795575</v>
      </c>
      <c r="U286" s="151">
        <v>24996737</v>
      </c>
      <c r="V286" s="151">
        <v>38959528</v>
      </c>
      <c r="W286" s="151">
        <v>6099862</v>
      </c>
      <c r="X286" s="151">
        <v>87311128</v>
      </c>
      <c r="Y286" s="151">
        <v>699839</v>
      </c>
      <c r="Z286" s="151">
        <v>6361747</v>
      </c>
      <c r="AA286" s="151">
        <v>11586182</v>
      </c>
      <c r="AB286" s="151">
        <v>5701995</v>
      </c>
      <c r="AC286" s="151">
        <v>8047412</v>
      </c>
      <c r="AD286" s="151">
        <v>12269002</v>
      </c>
      <c r="AE286" s="151">
        <v>55469013</v>
      </c>
      <c r="AF286" s="151"/>
      <c r="AG286" s="151"/>
      <c r="AH286" s="151"/>
      <c r="AI286" s="151"/>
    </row>
    <row r="287" spans="2:35" x14ac:dyDescent="0.35">
      <c r="E287" s="66"/>
      <c r="AF287" s="46"/>
      <c r="AG287" s="46"/>
      <c r="AH287" s="46"/>
      <c r="AI287" s="46"/>
    </row>
    <row r="288" spans="2:35" x14ac:dyDescent="0.35">
      <c r="B288" s="59" t="s">
        <v>14</v>
      </c>
      <c r="C288" s="59" t="s">
        <v>13</v>
      </c>
      <c r="D288" s="59" t="str">
        <f>'Interface and charts'!$K$6</f>
        <v>Slow change</v>
      </c>
      <c r="E288" s="63" t="s">
        <v>7</v>
      </c>
      <c r="F288" s="171" t="str">
        <f>Calculation!G$56</f>
        <v>FY 2019-20</v>
      </c>
      <c r="G288" s="171" t="str">
        <f>Calculation!H$56</f>
        <v>FY 2020-21</v>
      </c>
      <c r="H288" s="171" t="str">
        <f>Calculation!I$56</f>
        <v>FY 2021-22</v>
      </c>
      <c r="I288" s="171" t="str">
        <f>Calculation!J$56</f>
        <v>FY 2022-23</v>
      </c>
      <c r="J288" s="171" t="str">
        <f>Calculation!K$56</f>
        <v>FY 2023-24</v>
      </c>
      <c r="K288" s="171" t="str">
        <f>Calculation!L$56</f>
        <v>FY 2024-25</v>
      </c>
      <c r="L288" s="171" t="str">
        <f>Calculation!M$56</f>
        <v>FY 2025-26</v>
      </c>
      <c r="M288" s="171" t="str">
        <f>Calculation!N$56</f>
        <v>FY 2026-27</v>
      </c>
      <c r="N288" s="171" t="str">
        <f>Calculation!O$56</f>
        <v>FY 2027-28</v>
      </c>
      <c r="O288" s="171" t="str">
        <f>Calculation!P$56</f>
        <v>FY 2028-29</v>
      </c>
      <c r="P288" s="171" t="str">
        <f>Calculation!Q$56</f>
        <v>FY 2029-30</v>
      </c>
      <c r="Q288" s="171" t="str">
        <f>Calculation!R$56</f>
        <v>FY 2030-31</v>
      </c>
      <c r="R288" s="171" t="str">
        <f>Calculation!S$56</f>
        <v>FY 2031-32</v>
      </c>
      <c r="S288" s="171" t="str">
        <f>Calculation!T$56</f>
        <v>FY 2032-33</v>
      </c>
      <c r="T288" s="171" t="str">
        <f>Calculation!U$56</f>
        <v>FY 2033-34</v>
      </c>
      <c r="U288" s="171" t="str">
        <f>Calculation!V$56</f>
        <v>FY 2034-35</v>
      </c>
      <c r="V288" s="171" t="str">
        <f>Calculation!W$56</f>
        <v>FY 2035-36</v>
      </c>
      <c r="W288" s="171" t="str">
        <f>Calculation!X$56</f>
        <v>FY 2036-37</v>
      </c>
      <c r="X288" s="171" t="str">
        <f>Calculation!Y$56</f>
        <v>FY 2037-38</v>
      </c>
      <c r="Y288" s="171" t="str">
        <f>Calculation!Z$56</f>
        <v>FY 2038-39</v>
      </c>
      <c r="Z288" s="171" t="str">
        <f>Calculation!AA$56</f>
        <v>FY 2039-40</v>
      </c>
      <c r="AA288" s="171" t="str">
        <f>Calculation!AB$56</f>
        <v>FY 2040-41</v>
      </c>
      <c r="AB288" s="171" t="str">
        <f>Calculation!AC$56</f>
        <v>FY 2041-42</v>
      </c>
      <c r="AC288" s="171" t="str">
        <f>Calculation!AD$56</f>
        <v>FY 2042-43</v>
      </c>
      <c r="AD288" s="171" t="str">
        <f>Calculation!AE$56</f>
        <v>FY 2043-44</v>
      </c>
      <c r="AE288" s="171" t="str">
        <f>Calculation!AF$56</f>
        <v>FY 2044-45</v>
      </c>
      <c r="AF288" s="171" t="str">
        <f>Calculation!AG$56</f>
        <v>FY 2045-46</v>
      </c>
      <c r="AG288" s="171" t="str">
        <f>Calculation!AH$56</f>
        <v>FY 2046-47</v>
      </c>
      <c r="AH288" s="171" t="str">
        <f>Calculation!AI$56</f>
        <v>FY 2047-48</v>
      </c>
      <c r="AI288" s="171" t="str">
        <f>Calculation!AJ$56</f>
        <v>FY 2048-49</v>
      </c>
    </row>
    <row r="289" spans="2:63" x14ac:dyDescent="0.35">
      <c r="B289" s="9">
        <v>0</v>
      </c>
      <c r="C289" s="123" t="str">
        <f>'Option inputs'!$C$14</f>
        <v>Base case</v>
      </c>
      <c r="D289" s="62"/>
      <c r="E289" s="68" t="s">
        <v>35</v>
      </c>
      <c r="F289" s="151"/>
      <c r="G289" s="151">
        <v>18592580</v>
      </c>
      <c r="H289" s="151">
        <v>29361</v>
      </c>
      <c r="I289" s="151">
        <v>2433774</v>
      </c>
      <c r="J289" s="151">
        <v>5349570</v>
      </c>
      <c r="K289" s="151">
        <v>12208713</v>
      </c>
      <c r="L289" s="151">
        <v>1350</v>
      </c>
      <c r="M289" s="151">
        <v>14737557</v>
      </c>
      <c r="N289" s="151">
        <v>1517</v>
      </c>
      <c r="O289" s="151">
        <v>12819835</v>
      </c>
      <c r="P289" s="151">
        <v>1694</v>
      </c>
      <c r="Q289" s="151">
        <v>1798</v>
      </c>
      <c r="R289" s="151">
        <v>3863691</v>
      </c>
      <c r="S289" s="151">
        <v>6678978</v>
      </c>
      <c r="T289" s="151">
        <v>3943480</v>
      </c>
      <c r="U289" s="151">
        <v>5715043</v>
      </c>
      <c r="V289" s="151">
        <v>21118020</v>
      </c>
      <c r="W289" s="151">
        <v>6110364</v>
      </c>
      <c r="X289" s="151">
        <v>45705790</v>
      </c>
      <c r="Y289" s="151">
        <v>1163071</v>
      </c>
      <c r="Z289" s="151">
        <v>4809480</v>
      </c>
      <c r="AA289" s="151">
        <v>16988588</v>
      </c>
      <c r="AB289" s="151">
        <v>16984054</v>
      </c>
      <c r="AC289" s="151">
        <v>23645412</v>
      </c>
      <c r="AD289" s="151">
        <v>16201890</v>
      </c>
      <c r="AE289" s="151">
        <v>9192670</v>
      </c>
      <c r="AF289" s="151"/>
      <c r="AG289" s="151"/>
      <c r="AH289" s="151"/>
      <c r="AI289" s="151"/>
    </row>
    <row r="290" spans="2:63" x14ac:dyDescent="0.35">
      <c r="B290" s="9">
        <v>1</v>
      </c>
      <c r="C290" s="122" t="str">
        <f>'Option inputs'!$C$15</f>
        <v>Option 1A</v>
      </c>
      <c r="D290" s="62"/>
      <c r="E290" s="68" t="s">
        <v>35</v>
      </c>
      <c r="F290" s="151"/>
      <c r="G290" s="151">
        <v>18629683</v>
      </c>
      <c r="H290" s="151">
        <v>32579</v>
      </c>
      <c r="I290" s="151">
        <v>3096273</v>
      </c>
      <c r="J290" s="151">
        <v>10756033</v>
      </c>
      <c r="K290" s="151">
        <v>18423924</v>
      </c>
      <c r="L290" s="151">
        <v>2121</v>
      </c>
      <c r="M290" s="151">
        <v>5340616</v>
      </c>
      <c r="N290" s="151">
        <v>2411</v>
      </c>
      <c r="O290" s="151">
        <v>7261542</v>
      </c>
      <c r="P290" s="151">
        <v>2648</v>
      </c>
      <c r="Q290" s="151">
        <v>2803</v>
      </c>
      <c r="R290" s="151">
        <v>19086</v>
      </c>
      <c r="S290" s="151">
        <v>5666449</v>
      </c>
      <c r="T290" s="151">
        <v>56313</v>
      </c>
      <c r="U290" s="151">
        <v>5671759</v>
      </c>
      <c r="V290" s="151">
        <v>23100660</v>
      </c>
      <c r="W290" s="151">
        <v>5754439</v>
      </c>
      <c r="X290" s="151">
        <v>41418249</v>
      </c>
      <c r="Y290" s="151">
        <v>1206265</v>
      </c>
      <c r="Z290" s="151">
        <v>6280617</v>
      </c>
      <c r="AA290" s="151">
        <v>18863352</v>
      </c>
      <c r="AB290" s="151">
        <v>15851619</v>
      </c>
      <c r="AC290" s="151">
        <v>22529912</v>
      </c>
      <c r="AD290" s="151">
        <v>15013569</v>
      </c>
      <c r="AE290" s="151">
        <v>10102097</v>
      </c>
      <c r="AF290" s="151"/>
      <c r="AG290" s="151"/>
      <c r="AH290" s="151"/>
      <c r="AI290" s="151"/>
      <c r="AM290" s="102"/>
      <c r="AN290" s="102"/>
      <c r="AO290" s="102"/>
      <c r="AP290" s="102"/>
      <c r="AQ290" s="102"/>
      <c r="AR290" s="102"/>
      <c r="AS290" s="102"/>
      <c r="AT290" s="102"/>
      <c r="AU290" s="102"/>
      <c r="AV290" s="102"/>
      <c r="AW290" s="102"/>
      <c r="AX290" s="102"/>
      <c r="AY290" s="102"/>
      <c r="AZ290" s="102"/>
      <c r="BA290" s="102"/>
      <c r="BB290" s="102"/>
      <c r="BC290" s="102"/>
      <c r="BD290" s="102"/>
      <c r="BE290" s="102"/>
      <c r="BF290" s="102"/>
      <c r="BG290" s="102"/>
      <c r="BH290" s="102"/>
      <c r="BI290" s="102"/>
      <c r="BJ290" s="102"/>
      <c r="BK290" s="102"/>
    </row>
    <row r="291" spans="2:63" x14ac:dyDescent="0.35">
      <c r="B291" s="9">
        <v>2</v>
      </c>
      <c r="C291" s="122" t="str">
        <f>'Option inputs'!$C$16</f>
        <v>Option 1B</v>
      </c>
      <c r="D291" s="62"/>
      <c r="E291" s="68" t="s">
        <v>35</v>
      </c>
      <c r="F291" s="151"/>
      <c r="G291" s="151">
        <v>18622304</v>
      </c>
      <c r="H291" s="151">
        <v>31836</v>
      </c>
      <c r="I291" s="151">
        <v>2925421</v>
      </c>
      <c r="J291" s="151">
        <v>10877306</v>
      </c>
      <c r="K291" s="151">
        <v>18756182</v>
      </c>
      <c r="L291" s="151">
        <v>1832</v>
      </c>
      <c r="M291" s="151">
        <v>5122375</v>
      </c>
      <c r="N291" s="151">
        <v>2059</v>
      </c>
      <c r="O291" s="151">
        <v>7159808</v>
      </c>
      <c r="P291" s="151">
        <v>2298</v>
      </c>
      <c r="Q291" s="151">
        <v>2439</v>
      </c>
      <c r="R291" s="151">
        <v>2585</v>
      </c>
      <c r="S291" s="151">
        <v>5640079</v>
      </c>
      <c r="T291" s="151">
        <v>2918</v>
      </c>
      <c r="U291" s="151">
        <v>5501422</v>
      </c>
      <c r="V291" s="151">
        <v>22444788</v>
      </c>
      <c r="W291" s="151">
        <v>5954406</v>
      </c>
      <c r="X291" s="151">
        <v>42604968</v>
      </c>
      <c r="Y291" s="151">
        <v>686909</v>
      </c>
      <c r="Z291" s="151">
        <v>5704295</v>
      </c>
      <c r="AA291" s="151">
        <v>16530578</v>
      </c>
      <c r="AB291" s="151">
        <v>19870010</v>
      </c>
      <c r="AC291" s="151">
        <v>20966183</v>
      </c>
      <c r="AD291" s="151">
        <v>14438895</v>
      </c>
      <c r="AE291" s="151">
        <v>9365054</v>
      </c>
      <c r="AF291" s="151"/>
      <c r="AG291" s="151"/>
      <c r="AH291" s="151"/>
      <c r="AI291" s="151"/>
      <c r="AM291" s="102"/>
      <c r="AN291" s="102"/>
      <c r="AO291" s="102"/>
      <c r="AP291" s="102"/>
      <c r="AQ291" s="102"/>
      <c r="AR291" s="102"/>
      <c r="AS291" s="102"/>
      <c r="AT291" s="102"/>
      <c r="AU291" s="102"/>
      <c r="AV291" s="102"/>
      <c r="AW291" s="102"/>
      <c r="AX291" s="102"/>
      <c r="AY291" s="102"/>
      <c r="AZ291" s="102"/>
      <c r="BA291" s="102"/>
      <c r="BB291" s="102"/>
      <c r="BC291" s="102"/>
      <c r="BD291" s="102"/>
      <c r="BE291" s="102"/>
      <c r="BF291" s="102"/>
      <c r="BG291" s="102"/>
      <c r="BH291" s="102"/>
      <c r="BI291" s="102"/>
      <c r="BJ291" s="102"/>
      <c r="BK291" s="102"/>
    </row>
    <row r="292" spans="2:63" x14ac:dyDescent="0.35">
      <c r="B292" s="9">
        <v>3</v>
      </c>
      <c r="C292" s="122" t="str">
        <f>'Option inputs'!$C$17</f>
        <v>Option 1C</v>
      </c>
      <c r="D292" s="62"/>
      <c r="E292" s="68" t="s">
        <v>35</v>
      </c>
      <c r="F292" s="151"/>
      <c r="G292" s="151">
        <v>18597658</v>
      </c>
      <c r="H292" s="151">
        <v>29048</v>
      </c>
      <c r="I292" s="151">
        <v>2525307</v>
      </c>
      <c r="J292" s="151">
        <v>10971622</v>
      </c>
      <c r="K292" s="151">
        <v>24445545</v>
      </c>
      <c r="L292" s="151">
        <v>432</v>
      </c>
      <c r="M292" s="151">
        <v>16986</v>
      </c>
      <c r="N292" s="151">
        <v>486</v>
      </c>
      <c r="O292" s="151">
        <v>514</v>
      </c>
      <c r="P292" s="151">
        <v>542</v>
      </c>
      <c r="Q292" s="151">
        <v>575</v>
      </c>
      <c r="R292" s="151">
        <v>610</v>
      </c>
      <c r="S292" s="151">
        <v>1376434</v>
      </c>
      <c r="T292" s="151">
        <v>688</v>
      </c>
      <c r="U292" s="151">
        <v>39668</v>
      </c>
      <c r="V292" s="151">
        <v>22442713</v>
      </c>
      <c r="W292" s="151">
        <v>5953167</v>
      </c>
      <c r="X292" s="151">
        <v>42605106</v>
      </c>
      <c r="Y292" s="151">
        <v>683812</v>
      </c>
      <c r="Z292" s="151">
        <v>5701900</v>
      </c>
      <c r="AA292" s="151">
        <v>16527182</v>
      </c>
      <c r="AB292" s="151">
        <v>19866975</v>
      </c>
      <c r="AC292" s="151">
        <v>20961819</v>
      </c>
      <c r="AD292" s="151">
        <v>14434410</v>
      </c>
      <c r="AE292" s="151">
        <v>9363742</v>
      </c>
      <c r="AF292" s="151"/>
      <c r="AG292" s="151"/>
      <c r="AH292" s="151"/>
      <c r="AI292" s="151"/>
      <c r="AM292" s="102"/>
      <c r="AN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  <c r="AX292" s="102"/>
      <c r="AY292" s="102"/>
      <c r="AZ292" s="102"/>
      <c r="BA292" s="102"/>
      <c r="BB292" s="102"/>
      <c r="BC292" s="102"/>
      <c r="BD292" s="102"/>
      <c r="BE292" s="102"/>
      <c r="BF292" s="102"/>
      <c r="BG292" s="102"/>
      <c r="BH292" s="102"/>
      <c r="BI292" s="102"/>
      <c r="BJ292" s="102"/>
      <c r="BK292" s="102"/>
    </row>
    <row r="293" spans="2:63" x14ac:dyDescent="0.35">
      <c r="B293" s="9">
        <v>4</v>
      </c>
      <c r="C293" s="122" t="str">
        <f>'Option inputs'!$C$18</f>
        <v>Option 2A</v>
      </c>
      <c r="D293" s="62"/>
      <c r="E293" s="68" t="s">
        <v>35</v>
      </c>
      <c r="F293" s="151"/>
      <c r="G293" s="151">
        <v>18950074</v>
      </c>
      <c r="H293" s="151">
        <v>37452</v>
      </c>
      <c r="I293" s="151">
        <v>4569599</v>
      </c>
      <c r="J293" s="151">
        <v>11972986</v>
      </c>
      <c r="K293" s="151">
        <v>10728901</v>
      </c>
      <c r="L293" s="151">
        <v>1275</v>
      </c>
      <c r="M293" s="151">
        <v>5134194</v>
      </c>
      <c r="N293" s="151">
        <v>1440</v>
      </c>
      <c r="O293" s="151">
        <v>7268007</v>
      </c>
      <c r="P293" s="151">
        <v>1609</v>
      </c>
      <c r="Q293" s="151">
        <v>1710</v>
      </c>
      <c r="R293" s="151">
        <v>1817</v>
      </c>
      <c r="S293" s="151">
        <v>5640547</v>
      </c>
      <c r="T293" s="151">
        <v>109335</v>
      </c>
      <c r="U293" s="151">
        <v>5777017</v>
      </c>
      <c r="V293" s="151">
        <v>21333265</v>
      </c>
      <c r="W293" s="151">
        <v>6912451</v>
      </c>
      <c r="X293" s="151">
        <v>46415882</v>
      </c>
      <c r="Y293" s="151">
        <v>797579</v>
      </c>
      <c r="Z293" s="151">
        <v>5042137</v>
      </c>
      <c r="AA293" s="151">
        <v>19981196</v>
      </c>
      <c r="AB293" s="151">
        <v>15688481</v>
      </c>
      <c r="AC293" s="151">
        <v>22658819</v>
      </c>
      <c r="AD293" s="151">
        <v>15967771</v>
      </c>
      <c r="AE293" s="151">
        <v>10882343</v>
      </c>
      <c r="AF293" s="151"/>
      <c r="AG293" s="151"/>
      <c r="AH293" s="151"/>
      <c r="AI293" s="151"/>
      <c r="AM293" s="102"/>
      <c r="AN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  <c r="AX293" s="102"/>
      <c r="AY293" s="102"/>
      <c r="AZ293" s="102"/>
      <c r="BA293" s="102"/>
      <c r="BB293" s="102"/>
      <c r="BC293" s="102"/>
      <c r="BD293" s="102"/>
      <c r="BE293" s="102"/>
      <c r="BF293" s="102"/>
      <c r="BG293" s="102"/>
      <c r="BH293" s="102"/>
      <c r="BI293" s="102"/>
      <c r="BJ293" s="102"/>
      <c r="BK293" s="102"/>
    </row>
    <row r="294" spans="2:63" x14ac:dyDescent="0.35">
      <c r="B294" s="9">
        <v>5</v>
      </c>
      <c r="C294" s="122" t="str">
        <f>'Option inputs'!$C$19</f>
        <v>Option 2B</v>
      </c>
      <c r="D294" s="62"/>
      <c r="E294" s="68" t="s">
        <v>35</v>
      </c>
      <c r="F294" s="151"/>
      <c r="G294" s="151">
        <v>19098280</v>
      </c>
      <c r="H294" s="151">
        <v>40153</v>
      </c>
      <c r="I294" s="151">
        <v>5161821</v>
      </c>
      <c r="J294" s="151">
        <v>12321127</v>
      </c>
      <c r="K294" s="151">
        <v>10263499</v>
      </c>
      <c r="L294" s="151">
        <v>1728</v>
      </c>
      <c r="M294" s="151">
        <v>4643497</v>
      </c>
      <c r="N294" s="151">
        <v>1951</v>
      </c>
      <c r="O294" s="151">
        <v>6117648</v>
      </c>
      <c r="P294" s="151">
        <v>2188</v>
      </c>
      <c r="Q294" s="151">
        <v>2325</v>
      </c>
      <c r="R294" s="151">
        <v>2459</v>
      </c>
      <c r="S294" s="151">
        <v>5639951</v>
      </c>
      <c r="T294" s="151">
        <v>25756</v>
      </c>
      <c r="U294" s="151">
        <v>5410483</v>
      </c>
      <c r="V294" s="151">
        <v>21996560</v>
      </c>
      <c r="W294" s="151">
        <v>5627295</v>
      </c>
      <c r="X294" s="151">
        <v>39581643</v>
      </c>
      <c r="Y294" s="151">
        <v>645936</v>
      </c>
      <c r="Z294" s="151">
        <v>5325590</v>
      </c>
      <c r="AA294" s="151">
        <v>16421147</v>
      </c>
      <c r="AB294" s="151">
        <v>20689019</v>
      </c>
      <c r="AC294" s="151">
        <v>21083217</v>
      </c>
      <c r="AD294" s="151">
        <v>13628574</v>
      </c>
      <c r="AE294" s="151">
        <v>11180686</v>
      </c>
      <c r="AF294" s="151"/>
      <c r="AG294" s="151"/>
      <c r="AH294" s="151"/>
      <c r="AI294" s="151"/>
      <c r="AM294" s="102"/>
      <c r="AN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  <c r="AX294" s="102"/>
      <c r="AY294" s="102"/>
      <c r="AZ294" s="102"/>
      <c r="BA294" s="102"/>
      <c r="BB294" s="102"/>
      <c r="BC294" s="102"/>
      <c r="BD294" s="102"/>
      <c r="BE294" s="102"/>
      <c r="BF294" s="102"/>
      <c r="BG294" s="102"/>
      <c r="BH294" s="102"/>
      <c r="BI294" s="102"/>
      <c r="BJ294" s="102"/>
      <c r="BK294" s="102"/>
    </row>
    <row r="295" spans="2:63" x14ac:dyDescent="0.35">
      <c r="B295" s="9">
        <v>6</v>
      </c>
      <c r="C295" s="122" t="str">
        <f>'Option inputs'!$C$20</f>
        <v>Option 2C</v>
      </c>
      <c r="D295" s="62"/>
      <c r="E295" s="68" t="s">
        <v>35</v>
      </c>
      <c r="F295" s="151"/>
      <c r="G295" s="151">
        <v>19513312</v>
      </c>
      <c r="H295" s="151">
        <v>47638</v>
      </c>
      <c r="I295" s="151">
        <v>6873111</v>
      </c>
      <c r="J295" s="151">
        <v>12624746</v>
      </c>
      <c r="K295" s="151">
        <v>9740666</v>
      </c>
      <c r="L295" s="151">
        <v>2980</v>
      </c>
      <c r="M295" s="151">
        <v>27754</v>
      </c>
      <c r="N295" s="151">
        <v>3347</v>
      </c>
      <c r="O295" s="151">
        <v>3529</v>
      </c>
      <c r="P295" s="151">
        <v>3715</v>
      </c>
      <c r="Q295" s="151">
        <v>3938</v>
      </c>
      <c r="R295" s="151">
        <v>4165</v>
      </c>
      <c r="S295" s="151">
        <v>1889203</v>
      </c>
      <c r="T295" s="151">
        <v>4696</v>
      </c>
      <c r="U295" s="151">
        <v>44499</v>
      </c>
      <c r="V295" s="151">
        <v>21997900</v>
      </c>
      <c r="W295" s="151">
        <v>5630175</v>
      </c>
      <c r="X295" s="151">
        <v>39584937</v>
      </c>
      <c r="Y295" s="151">
        <v>648263</v>
      </c>
      <c r="Z295" s="151">
        <v>5328511</v>
      </c>
      <c r="AA295" s="151">
        <v>16424813</v>
      </c>
      <c r="AB295" s="151">
        <v>20691744</v>
      </c>
      <c r="AC295" s="151">
        <v>21086325</v>
      </c>
      <c r="AD295" s="151">
        <v>13632500</v>
      </c>
      <c r="AE295" s="151">
        <v>11184742</v>
      </c>
      <c r="AF295" s="151"/>
      <c r="AG295" s="151"/>
      <c r="AH295" s="151"/>
      <c r="AI295" s="151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  <c r="AX295" s="102"/>
      <c r="AY295" s="102"/>
      <c r="AZ295" s="102"/>
      <c r="BA295" s="102"/>
      <c r="BB295" s="102"/>
      <c r="BC295" s="102"/>
      <c r="BD295" s="102"/>
      <c r="BE295" s="102"/>
      <c r="BF295" s="102"/>
      <c r="BG295" s="102"/>
      <c r="BH295" s="102"/>
      <c r="BI295" s="102"/>
      <c r="BJ295" s="102"/>
      <c r="BK295" s="102"/>
    </row>
    <row r="296" spans="2:63" x14ac:dyDescent="0.35">
      <c r="B296" s="9">
        <v>7</v>
      </c>
      <c r="C296" s="122" t="str">
        <f>'Option inputs'!$C$21</f>
        <v>Option 3A</v>
      </c>
      <c r="D296" s="62"/>
      <c r="E296" s="68" t="s">
        <v>35</v>
      </c>
      <c r="F296" s="130"/>
      <c r="G296" s="130">
        <v>18620300</v>
      </c>
      <c r="H296" s="151">
        <v>31437</v>
      </c>
      <c r="I296" s="151">
        <v>2890322</v>
      </c>
      <c r="J296" s="151">
        <v>11116575</v>
      </c>
      <c r="K296" s="151">
        <v>10809790</v>
      </c>
      <c r="L296" s="151">
        <v>1488</v>
      </c>
      <c r="M296" s="151">
        <v>9270975</v>
      </c>
      <c r="N296" s="151">
        <v>1664</v>
      </c>
      <c r="O296" s="151">
        <v>7521241</v>
      </c>
      <c r="P296" s="151">
        <v>1858</v>
      </c>
      <c r="Q296" s="151">
        <v>1973</v>
      </c>
      <c r="R296" s="151">
        <v>237245</v>
      </c>
      <c r="S296" s="151">
        <v>6122173</v>
      </c>
      <c r="T296" s="151">
        <v>665287</v>
      </c>
      <c r="U296" s="151">
        <v>5699741</v>
      </c>
      <c r="V296" s="151">
        <v>23281968</v>
      </c>
      <c r="W296" s="151">
        <v>6060162</v>
      </c>
      <c r="X296" s="151">
        <v>41136627</v>
      </c>
      <c r="Y296" s="151">
        <v>1321114</v>
      </c>
      <c r="Z296" s="151">
        <v>6401434</v>
      </c>
      <c r="AA296" s="151">
        <v>17783527</v>
      </c>
      <c r="AB296" s="151">
        <v>16462301</v>
      </c>
      <c r="AC296" s="151">
        <v>22476680</v>
      </c>
      <c r="AD296" s="151">
        <v>14954073</v>
      </c>
      <c r="AE296" s="151">
        <v>9420779</v>
      </c>
      <c r="AF296" s="151"/>
      <c r="AG296" s="151"/>
      <c r="AH296" s="151"/>
      <c r="AI296" s="151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  <c r="AX296" s="102"/>
      <c r="AY296" s="102"/>
      <c r="AZ296" s="102"/>
      <c r="BA296" s="102"/>
      <c r="BB296" s="102"/>
      <c r="BC296" s="102"/>
      <c r="BD296" s="102"/>
      <c r="BE296" s="102"/>
      <c r="BF296" s="102"/>
      <c r="BG296" s="102"/>
      <c r="BH296" s="102"/>
      <c r="BI296" s="102"/>
      <c r="BJ296" s="102"/>
      <c r="BK296" s="102"/>
    </row>
    <row r="297" spans="2:63" x14ac:dyDescent="0.35">
      <c r="B297" s="64">
        <f>+'Option inputs'!$B$22</f>
        <v>8</v>
      </c>
      <c r="C297" s="122" t="str">
        <f>'Option inputs'!$C$22</f>
        <v>Option 3B</v>
      </c>
      <c r="D297" s="62"/>
      <c r="E297" s="68" t="s">
        <v>35</v>
      </c>
      <c r="F297" s="130"/>
      <c r="G297" s="130">
        <v>18637878</v>
      </c>
      <c r="H297" s="151">
        <v>32810</v>
      </c>
      <c r="I297" s="151">
        <v>3233351</v>
      </c>
      <c r="J297" s="151">
        <v>11227435</v>
      </c>
      <c r="K297" s="151">
        <v>10754728</v>
      </c>
      <c r="L297" s="151">
        <v>1782</v>
      </c>
      <c r="M297" s="151">
        <v>6634481</v>
      </c>
      <c r="N297" s="151">
        <v>2003</v>
      </c>
      <c r="O297" s="151">
        <v>7343688</v>
      </c>
      <c r="P297" s="151">
        <v>2232</v>
      </c>
      <c r="Q297" s="151">
        <v>2367</v>
      </c>
      <c r="R297" s="151">
        <v>107841</v>
      </c>
      <c r="S297" s="151">
        <v>5733786</v>
      </c>
      <c r="T297" s="151">
        <v>158619</v>
      </c>
      <c r="U297" s="151">
        <v>5619477</v>
      </c>
      <c r="V297" s="151">
        <v>21991073</v>
      </c>
      <c r="W297" s="151">
        <v>5738751</v>
      </c>
      <c r="X297" s="151">
        <v>39002691</v>
      </c>
      <c r="Y297" s="151">
        <v>626530</v>
      </c>
      <c r="Z297" s="151">
        <v>5240223</v>
      </c>
      <c r="AA297" s="151">
        <v>16489444</v>
      </c>
      <c r="AB297" s="151">
        <v>20587657</v>
      </c>
      <c r="AC297" s="151">
        <v>21081117</v>
      </c>
      <c r="AD297" s="151">
        <v>14363097</v>
      </c>
      <c r="AE297" s="151">
        <v>10945909</v>
      </c>
      <c r="AF297" s="151"/>
      <c r="AG297" s="151"/>
      <c r="AH297" s="151"/>
      <c r="AI297" s="151"/>
      <c r="AM297" s="102"/>
      <c r="AN297" s="102"/>
      <c r="AO297" s="102"/>
      <c r="AP297" s="102"/>
      <c r="AQ297" s="102"/>
      <c r="AR297" s="102"/>
      <c r="AS297" s="102"/>
      <c r="AT297" s="102"/>
      <c r="AU297" s="102"/>
      <c r="AV297" s="102"/>
      <c r="AW297" s="102"/>
      <c r="AX297" s="102"/>
      <c r="AY297" s="102"/>
      <c r="AZ297" s="102"/>
      <c r="BA297" s="102"/>
      <c r="BB297" s="102"/>
      <c r="BC297" s="102"/>
      <c r="BD297" s="102"/>
      <c r="BE297" s="102"/>
      <c r="BF297" s="102"/>
      <c r="BG297" s="102"/>
      <c r="BH297" s="102"/>
      <c r="BI297" s="102"/>
      <c r="BJ297" s="102"/>
      <c r="BK297" s="102"/>
    </row>
    <row r="298" spans="2:63" x14ac:dyDescent="0.35">
      <c r="B298" s="64">
        <f>+'Option inputs'!$B$23</f>
        <v>9</v>
      </c>
      <c r="C298" s="122" t="str">
        <f>'Option inputs'!$C$23</f>
        <v>Option 3C</v>
      </c>
      <c r="D298" s="62"/>
      <c r="E298" s="68" t="s">
        <v>35</v>
      </c>
      <c r="F298" s="130"/>
      <c r="G298" s="130">
        <v>19512492</v>
      </c>
      <c r="H298" s="151">
        <v>46771</v>
      </c>
      <c r="I298" s="151">
        <v>6872196</v>
      </c>
      <c r="J298" s="151">
        <v>12623755</v>
      </c>
      <c r="K298" s="151">
        <v>10629521</v>
      </c>
      <c r="L298" s="151">
        <v>1871</v>
      </c>
      <c r="M298" s="151">
        <v>26584</v>
      </c>
      <c r="N298" s="151">
        <v>2104</v>
      </c>
      <c r="O298" s="151">
        <v>2224</v>
      </c>
      <c r="P298" s="151">
        <v>2347</v>
      </c>
      <c r="Q298" s="151">
        <v>2489</v>
      </c>
      <c r="R298" s="151">
        <v>2641</v>
      </c>
      <c r="S298" s="151">
        <v>1887583</v>
      </c>
      <c r="T298" s="151">
        <v>2977</v>
      </c>
      <c r="U298" s="151">
        <v>42687</v>
      </c>
      <c r="V298" s="151">
        <v>22001806</v>
      </c>
      <c r="W298" s="151">
        <v>5748034</v>
      </c>
      <c r="X298" s="151">
        <v>39006294</v>
      </c>
      <c r="Y298" s="151">
        <v>626801</v>
      </c>
      <c r="Z298" s="151">
        <v>5243560</v>
      </c>
      <c r="AA298" s="151">
        <v>16489625</v>
      </c>
      <c r="AB298" s="151">
        <v>20591613</v>
      </c>
      <c r="AC298" s="151">
        <v>21081616</v>
      </c>
      <c r="AD298" s="151">
        <v>14363529</v>
      </c>
      <c r="AE298" s="151">
        <v>10945017</v>
      </c>
      <c r="AF298" s="151"/>
      <c r="AG298" s="151"/>
      <c r="AH298" s="151"/>
      <c r="AI298" s="151"/>
      <c r="AM298" s="102"/>
      <c r="AN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  <c r="AX298" s="102"/>
      <c r="AY298" s="102"/>
      <c r="AZ298" s="102"/>
      <c r="BA298" s="102"/>
      <c r="BB298" s="102"/>
      <c r="BC298" s="102"/>
      <c r="BD298" s="102"/>
      <c r="BE298" s="102"/>
      <c r="BF298" s="102"/>
      <c r="BG298" s="102"/>
      <c r="BH298" s="102"/>
      <c r="BI298" s="102"/>
      <c r="BJ298" s="102"/>
      <c r="BK298" s="102"/>
    </row>
    <row r="299" spans="2:63" x14ac:dyDescent="0.35">
      <c r="B299" s="64">
        <f>+'Option inputs'!$B$24</f>
        <v>10</v>
      </c>
      <c r="C299" s="122" t="str">
        <f>'Option inputs'!$C$24</f>
        <v>Option 4A</v>
      </c>
      <c r="D299" s="62"/>
      <c r="E299" s="68" t="s">
        <v>35</v>
      </c>
      <c r="F299" s="130"/>
      <c r="G299" s="130">
        <v>18634572</v>
      </c>
      <c r="H299" s="151">
        <v>32443</v>
      </c>
      <c r="I299" s="151">
        <v>3204324</v>
      </c>
      <c r="J299" s="151">
        <v>11210941</v>
      </c>
      <c r="K299" s="151">
        <v>10844038</v>
      </c>
      <c r="L299" s="151">
        <v>1461</v>
      </c>
      <c r="M299" s="151">
        <v>6885576</v>
      </c>
      <c r="N299" s="151">
        <v>1651</v>
      </c>
      <c r="O299" s="151">
        <v>7359127</v>
      </c>
      <c r="P299" s="151">
        <v>1835</v>
      </c>
      <c r="Q299" s="151">
        <v>1949</v>
      </c>
      <c r="R299" s="151">
        <v>158693</v>
      </c>
      <c r="S299" s="151">
        <v>5747371</v>
      </c>
      <c r="T299" s="151">
        <v>197689</v>
      </c>
      <c r="U299" s="151">
        <v>5721903</v>
      </c>
      <c r="V299" s="151">
        <v>23057294</v>
      </c>
      <c r="W299" s="151">
        <v>6124379</v>
      </c>
      <c r="X299" s="151">
        <v>41402941</v>
      </c>
      <c r="Y299" s="151">
        <v>1248369</v>
      </c>
      <c r="Z299" s="151">
        <v>6308916</v>
      </c>
      <c r="AA299" s="151">
        <v>18181166</v>
      </c>
      <c r="AB299" s="151">
        <v>16404872</v>
      </c>
      <c r="AC299" s="151">
        <v>22489128</v>
      </c>
      <c r="AD299" s="151">
        <v>14964928</v>
      </c>
      <c r="AE299" s="151">
        <v>9470464</v>
      </c>
      <c r="AF299" s="151"/>
      <c r="AG299" s="151"/>
      <c r="AH299" s="151"/>
      <c r="AI299" s="151"/>
      <c r="AM299" s="102"/>
      <c r="AN299" s="102"/>
      <c r="AO299" s="102"/>
      <c r="AP299" s="102"/>
      <c r="AQ299" s="102"/>
      <c r="AR299" s="102"/>
      <c r="AS299" s="102"/>
      <c r="AT299" s="102"/>
      <c r="AU299" s="102"/>
      <c r="AV299" s="102"/>
      <c r="AW299" s="102"/>
      <c r="AX299" s="102"/>
      <c r="AY299" s="102"/>
      <c r="AZ299" s="102"/>
      <c r="BA299" s="102"/>
      <c r="BB299" s="102"/>
      <c r="BC299" s="102"/>
      <c r="BD299" s="102"/>
      <c r="BE299" s="102"/>
      <c r="BF299" s="102"/>
      <c r="BG299" s="102"/>
      <c r="BH299" s="102"/>
      <c r="BI299" s="102"/>
      <c r="BJ299" s="102"/>
      <c r="BK299" s="102"/>
    </row>
    <row r="300" spans="2:63" x14ac:dyDescent="0.35">
      <c r="B300" s="64">
        <f>+'Option inputs'!$B$25</f>
        <v>11</v>
      </c>
      <c r="C300" s="122" t="str">
        <f>'Option inputs'!$C$25</f>
        <v>Option 4B</v>
      </c>
      <c r="D300" s="62"/>
      <c r="E300" s="68" t="s">
        <v>35</v>
      </c>
      <c r="F300" s="130"/>
      <c r="G300" s="130">
        <v>18868775</v>
      </c>
      <c r="H300" s="151">
        <v>35839</v>
      </c>
      <c r="I300" s="151">
        <v>4225885</v>
      </c>
      <c r="J300" s="151">
        <v>11781742</v>
      </c>
      <c r="K300" s="151">
        <v>10728509</v>
      </c>
      <c r="L300" s="151">
        <v>875</v>
      </c>
      <c r="M300" s="151">
        <v>5130701</v>
      </c>
      <c r="N300" s="151">
        <v>997</v>
      </c>
      <c r="O300" s="151">
        <v>7259951</v>
      </c>
      <c r="P300" s="151">
        <v>1129</v>
      </c>
      <c r="Q300" s="151">
        <v>1192</v>
      </c>
      <c r="R300" s="151">
        <v>1275</v>
      </c>
      <c r="S300" s="151">
        <v>5638705</v>
      </c>
      <c r="T300" s="151">
        <v>1470</v>
      </c>
      <c r="U300" s="151">
        <v>5604612</v>
      </c>
      <c r="V300" s="151">
        <v>20595264</v>
      </c>
      <c r="W300" s="151">
        <v>7142688</v>
      </c>
      <c r="X300" s="151">
        <v>38984648</v>
      </c>
      <c r="Y300" s="151">
        <v>534972</v>
      </c>
      <c r="Z300" s="151">
        <v>4508489</v>
      </c>
      <c r="AA300" s="151">
        <v>15788840</v>
      </c>
      <c r="AB300" s="151">
        <v>20281273</v>
      </c>
      <c r="AC300" s="151">
        <v>21109842</v>
      </c>
      <c r="AD300" s="151">
        <v>13426943</v>
      </c>
      <c r="AE300" s="151">
        <v>13591229</v>
      </c>
      <c r="AF300" s="151"/>
      <c r="AG300" s="151"/>
      <c r="AH300" s="151"/>
      <c r="AI300" s="151"/>
      <c r="AM300" s="102"/>
      <c r="AN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  <c r="AX300" s="102"/>
      <c r="AY300" s="102"/>
      <c r="AZ300" s="102"/>
      <c r="BA300" s="102"/>
      <c r="BB300" s="102"/>
      <c r="BC300" s="102"/>
      <c r="BD300" s="102"/>
      <c r="BE300" s="102"/>
      <c r="BF300" s="102"/>
      <c r="BG300" s="102"/>
      <c r="BH300" s="102"/>
      <c r="BI300" s="102"/>
      <c r="BJ300" s="102"/>
      <c r="BK300" s="102"/>
    </row>
    <row r="301" spans="2:63" x14ac:dyDescent="0.35">
      <c r="B301" s="64">
        <f>+'Option inputs'!$B$26</f>
        <v>12</v>
      </c>
      <c r="C301" s="122" t="str">
        <f>'Option inputs'!$C$26</f>
        <v>Option 4C</v>
      </c>
      <c r="D301" s="62"/>
      <c r="E301" s="68" t="s">
        <v>35</v>
      </c>
      <c r="F301" s="130"/>
      <c r="G301" s="130">
        <v>19650931</v>
      </c>
      <c r="H301" s="151">
        <v>49104</v>
      </c>
      <c r="I301" s="151">
        <v>7548404</v>
      </c>
      <c r="J301" s="151">
        <v>12689326</v>
      </c>
      <c r="K301" s="151">
        <v>10629928</v>
      </c>
      <c r="L301" s="151">
        <v>2300</v>
      </c>
      <c r="M301" s="151">
        <v>9083</v>
      </c>
      <c r="N301" s="151">
        <v>2581</v>
      </c>
      <c r="O301" s="151">
        <v>2725</v>
      </c>
      <c r="P301" s="151">
        <v>2872</v>
      </c>
      <c r="Q301" s="151">
        <v>3043</v>
      </c>
      <c r="R301" s="151">
        <v>3222</v>
      </c>
      <c r="S301" s="151">
        <v>3419</v>
      </c>
      <c r="T301" s="151">
        <v>3629</v>
      </c>
      <c r="U301" s="151">
        <v>24643</v>
      </c>
      <c r="V301" s="151">
        <v>20593433</v>
      </c>
      <c r="W301" s="151">
        <v>7148605</v>
      </c>
      <c r="X301" s="151">
        <v>38987291</v>
      </c>
      <c r="Y301" s="151">
        <v>537901</v>
      </c>
      <c r="Z301" s="151">
        <v>4512873</v>
      </c>
      <c r="AA301" s="151">
        <v>15793515</v>
      </c>
      <c r="AB301" s="151">
        <v>20283509</v>
      </c>
      <c r="AC301" s="151">
        <v>21113449</v>
      </c>
      <c r="AD301" s="151">
        <v>13431024</v>
      </c>
      <c r="AE301" s="151">
        <v>13595520</v>
      </c>
      <c r="AF301" s="151"/>
      <c r="AG301" s="151"/>
      <c r="AH301" s="151"/>
      <c r="AI301" s="151"/>
      <c r="AM301" s="102"/>
      <c r="AN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  <c r="AX301" s="102"/>
      <c r="AY301" s="102"/>
      <c r="AZ301" s="102"/>
      <c r="BA301" s="102"/>
      <c r="BB301" s="102"/>
      <c r="BC301" s="102"/>
      <c r="BD301" s="102"/>
      <c r="BE301" s="102"/>
      <c r="BF301" s="102"/>
      <c r="BG301" s="102"/>
      <c r="BH301" s="102"/>
      <c r="BI301" s="102"/>
      <c r="BJ301" s="102"/>
      <c r="BK301" s="102"/>
    </row>
    <row r="302" spans="2:63" x14ac:dyDescent="0.35">
      <c r="E302" s="66"/>
      <c r="AF302" s="46"/>
      <c r="AG302" s="46"/>
      <c r="AH302" s="46"/>
      <c r="AI302" s="46"/>
    </row>
    <row r="303" spans="2:63" x14ac:dyDescent="0.35">
      <c r="B303" s="59" t="s">
        <v>14</v>
      </c>
      <c r="C303" s="59" t="s">
        <v>13</v>
      </c>
      <c r="D303" s="59" t="str">
        <f>'Interface and charts'!$L$6</f>
        <v>Fast change</v>
      </c>
      <c r="E303" s="63" t="s">
        <v>7</v>
      </c>
      <c r="F303" s="171" t="str">
        <f>Calculation!G$56</f>
        <v>FY 2019-20</v>
      </c>
      <c r="G303" s="171" t="str">
        <f>Calculation!H$56</f>
        <v>FY 2020-21</v>
      </c>
      <c r="H303" s="171" t="str">
        <f>Calculation!I$56</f>
        <v>FY 2021-22</v>
      </c>
      <c r="I303" s="171" t="str">
        <f>Calculation!J$56</f>
        <v>FY 2022-23</v>
      </c>
      <c r="J303" s="171" t="str">
        <f>Calculation!K$56</f>
        <v>FY 2023-24</v>
      </c>
      <c r="K303" s="171" t="str">
        <f>Calculation!L$56</f>
        <v>FY 2024-25</v>
      </c>
      <c r="L303" s="171" t="str">
        <f>Calculation!M$56</f>
        <v>FY 2025-26</v>
      </c>
      <c r="M303" s="171" t="str">
        <f>Calculation!N$56</f>
        <v>FY 2026-27</v>
      </c>
      <c r="N303" s="171" t="str">
        <f>Calculation!O$56</f>
        <v>FY 2027-28</v>
      </c>
      <c r="O303" s="171" t="str">
        <f>Calculation!P$56</f>
        <v>FY 2028-29</v>
      </c>
      <c r="P303" s="171" t="str">
        <f>Calculation!Q$56</f>
        <v>FY 2029-30</v>
      </c>
      <c r="Q303" s="171" t="str">
        <f>Calculation!R$56</f>
        <v>FY 2030-31</v>
      </c>
      <c r="R303" s="171" t="str">
        <f>Calculation!S$56</f>
        <v>FY 2031-32</v>
      </c>
      <c r="S303" s="171" t="str">
        <f>Calculation!T$56</f>
        <v>FY 2032-33</v>
      </c>
      <c r="T303" s="171" t="str">
        <f>Calculation!U$56</f>
        <v>FY 2033-34</v>
      </c>
      <c r="U303" s="171" t="str">
        <f>Calculation!V$56</f>
        <v>FY 2034-35</v>
      </c>
      <c r="V303" s="171" t="str">
        <f>Calculation!W$56</f>
        <v>FY 2035-36</v>
      </c>
      <c r="W303" s="171" t="str">
        <f>Calculation!X$56</f>
        <v>FY 2036-37</v>
      </c>
      <c r="X303" s="171" t="str">
        <f>Calculation!Y$56</f>
        <v>FY 2037-38</v>
      </c>
      <c r="Y303" s="171" t="str">
        <f>Calculation!Z$56</f>
        <v>FY 2038-39</v>
      </c>
      <c r="Z303" s="171" t="str">
        <f>Calculation!AA$56</f>
        <v>FY 2039-40</v>
      </c>
      <c r="AA303" s="171" t="str">
        <f>Calculation!AB$56</f>
        <v>FY 2040-41</v>
      </c>
      <c r="AB303" s="171" t="str">
        <f>Calculation!AC$56</f>
        <v>FY 2041-42</v>
      </c>
      <c r="AC303" s="171" t="str">
        <f>Calculation!AD$56</f>
        <v>FY 2042-43</v>
      </c>
      <c r="AD303" s="171" t="str">
        <f>Calculation!AE$56</f>
        <v>FY 2043-44</v>
      </c>
      <c r="AE303" s="171" t="str">
        <f>Calculation!AF$56</f>
        <v>FY 2044-45</v>
      </c>
      <c r="AF303" s="171" t="str">
        <f>Calculation!AG$56</f>
        <v>FY 2045-46</v>
      </c>
      <c r="AG303" s="171" t="str">
        <f>Calculation!AH$56</f>
        <v>FY 2046-47</v>
      </c>
      <c r="AH303" s="171" t="str">
        <f>Calculation!AI$56</f>
        <v>FY 2047-48</v>
      </c>
      <c r="AI303" s="171" t="str">
        <f>Calculation!AJ$56</f>
        <v>FY 2048-49</v>
      </c>
    </row>
    <row r="304" spans="2:63" x14ac:dyDescent="0.35">
      <c r="B304" s="9">
        <v>0</v>
      </c>
      <c r="C304" s="123" t="str">
        <f>'Option inputs'!$C$14</f>
        <v>Base case</v>
      </c>
      <c r="D304" s="62"/>
      <c r="E304" s="68" t="s">
        <v>35</v>
      </c>
      <c r="F304" s="151"/>
      <c r="G304" s="151">
        <v>22077781</v>
      </c>
      <c r="H304" s="151">
        <v>4108920</v>
      </c>
      <c r="I304" s="151">
        <v>9475253</v>
      </c>
      <c r="J304" s="151">
        <v>5702487</v>
      </c>
      <c r="K304" s="151">
        <v>22439693</v>
      </c>
      <c r="L304" s="151">
        <v>2265489</v>
      </c>
      <c r="M304" s="151">
        <v>26509459</v>
      </c>
      <c r="N304" s="151">
        <v>1777836</v>
      </c>
      <c r="O304" s="151">
        <v>13045230</v>
      </c>
      <c r="P304" s="151">
        <v>12112987</v>
      </c>
      <c r="Q304" s="151">
        <v>10806745</v>
      </c>
      <c r="R304" s="151">
        <v>8046503</v>
      </c>
      <c r="S304" s="151">
        <v>7323926</v>
      </c>
      <c r="T304" s="151">
        <v>19068676</v>
      </c>
      <c r="U304" s="151">
        <v>28460692</v>
      </c>
      <c r="V304" s="151">
        <v>40968001</v>
      </c>
      <c r="W304" s="151">
        <v>21654993</v>
      </c>
      <c r="X304" s="151">
        <v>127114480</v>
      </c>
      <c r="Y304" s="151">
        <v>243286</v>
      </c>
      <c r="Z304" s="151">
        <v>247864</v>
      </c>
      <c r="AA304" s="151">
        <v>3809298</v>
      </c>
      <c r="AB304" s="151">
        <v>11275432</v>
      </c>
      <c r="AC304" s="151">
        <v>20783597</v>
      </c>
      <c r="AD304" s="151">
        <v>33807925</v>
      </c>
      <c r="AE304" s="151">
        <v>12423456</v>
      </c>
      <c r="AF304" s="151"/>
      <c r="AG304" s="151"/>
      <c r="AH304" s="151"/>
      <c r="AI304" s="151"/>
    </row>
    <row r="305" spans="1:35" x14ac:dyDescent="0.35">
      <c r="B305" s="9">
        <v>1</v>
      </c>
      <c r="C305" s="122" t="str">
        <f>'Option inputs'!$C$15</f>
        <v>Option 1A</v>
      </c>
      <c r="D305" s="62"/>
      <c r="E305" s="68" t="s">
        <v>35</v>
      </c>
      <c r="F305" s="151"/>
      <c r="G305" s="151">
        <v>22079694</v>
      </c>
      <c r="H305" s="151">
        <v>4110903</v>
      </c>
      <c r="I305" s="151">
        <v>9477073</v>
      </c>
      <c r="J305" s="151">
        <v>7140218</v>
      </c>
      <c r="K305" s="151">
        <v>21524900</v>
      </c>
      <c r="L305" s="151">
        <v>6327</v>
      </c>
      <c r="M305" s="151">
        <v>6431035</v>
      </c>
      <c r="N305" s="151">
        <v>6844</v>
      </c>
      <c r="O305" s="151">
        <v>10382672</v>
      </c>
      <c r="P305" s="151">
        <v>8688904</v>
      </c>
      <c r="Q305" s="151">
        <v>7810564</v>
      </c>
      <c r="R305" s="151">
        <v>7580953</v>
      </c>
      <c r="S305" s="151">
        <v>3572139</v>
      </c>
      <c r="T305" s="151">
        <v>16954940</v>
      </c>
      <c r="U305" s="151">
        <v>18511635</v>
      </c>
      <c r="V305" s="151">
        <v>43238676</v>
      </c>
      <c r="W305" s="151">
        <v>18648691</v>
      </c>
      <c r="X305" s="151">
        <v>108920034</v>
      </c>
      <c r="Y305" s="151">
        <v>309723</v>
      </c>
      <c r="Z305" s="151">
        <v>126386</v>
      </c>
      <c r="AA305" s="151">
        <v>2916125</v>
      </c>
      <c r="AB305" s="151">
        <v>7092735</v>
      </c>
      <c r="AC305" s="151">
        <v>20758138</v>
      </c>
      <c r="AD305" s="151">
        <v>27854098</v>
      </c>
      <c r="AE305" s="151">
        <v>13923935</v>
      </c>
      <c r="AF305" s="151"/>
      <c r="AG305" s="151"/>
      <c r="AH305" s="151"/>
      <c r="AI305" s="151"/>
    </row>
    <row r="306" spans="1:35" x14ac:dyDescent="0.35">
      <c r="B306" s="9">
        <v>2</v>
      </c>
      <c r="C306" s="122" t="str">
        <f>'Option inputs'!$C$16</f>
        <v>Option 1B</v>
      </c>
      <c r="D306" s="62"/>
      <c r="E306" s="68" t="s">
        <v>35</v>
      </c>
      <c r="F306" s="151"/>
      <c r="G306" s="151">
        <v>22078391</v>
      </c>
      <c r="H306" s="151">
        <v>4109571</v>
      </c>
      <c r="I306" s="151">
        <v>9475831</v>
      </c>
      <c r="J306" s="151">
        <v>7138891</v>
      </c>
      <c r="K306" s="151">
        <v>21917951</v>
      </c>
      <c r="L306" s="151">
        <v>4723</v>
      </c>
      <c r="M306" s="151">
        <v>4297953</v>
      </c>
      <c r="N306" s="151">
        <v>5262</v>
      </c>
      <c r="O306" s="151">
        <v>4534549</v>
      </c>
      <c r="P306" s="151">
        <v>957375</v>
      </c>
      <c r="Q306" s="151">
        <v>974809</v>
      </c>
      <c r="R306" s="151">
        <v>3860393</v>
      </c>
      <c r="S306" s="151">
        <v>2359875</v>
      </c>
      <c r="T306" s="151">
        <v>16064606</v>
      </c>
      <c r="U306" s="151">
        <v>16737834</v>
      </c>
      <c r="V306" s="151">
        <v>32490213</v>
      </c>
      <c r="W306" s="151">
        <v>7603455</v>
      </c>
      <c r="X306" s="151">
        <v>100569801</v>
      </c>
      <c r="Y306" s="151">
        <v>243759</v>
      </c>
      <c r="Z306" s="151">
        <v>94128</v>
      </c>
      <c r="AA306" s="151">
        <v>3093789</v>
      </c>
      <c r="AB306" s="151">
        <v>3343047</v>
      </c>
      <c r="AC306" s="151">
        <v>20762411</v>
      </c>
      <c r="AD306" s="151">
        <v>26825770</v>
      </c>
      <c r="AE306" s="151">
        <v>18166500</v>
      </c>
      <c r="AF306" s="151"/>
      <c r="AG306" s="151"/>
      <c r="AH306" s="151"/>
      <c r="AI306" s="151"/>
    </row>
    <row r="307" spans="1:35" x14ac:dyDescent="0.35">
      <c r="B307" s="9">
        <v>3</v>
      </c>
      <c r="C307" s="122" t="str">
        <f>'Option inputs'!$C$17</f>
        <v>Option 1C</v>
      </c>
      <c r="D307" s="62"/>
      <c r="E307" s="68" t="s">
        <v>35</v>
      </c>
      <c r="F307" s="151"/>
      <c r="G307" s="151">
        <v>22075147</v>
      </c>
      <c r="H307" s="151">
        <v>4106125</v>
      </c>
      <c r="I307" s="151">
        <v>9472472</v>
      </c>
      <c r="J307" s="151">
        <v>7135106</v>
      </c>
      <c r="K307" s="151">
        <v>24370618</v>
      </c>
      <c r="L307" s="151">
        <v>280</v>
      </c>
      <c r="M307" s="151">
        <v>3306006</v>
      </c>
      <c r="N307" s="151">
        <v>315</v>
      </c>
      <c r="O307" s="151">
        <v>4610085</v>
      </c>
      <c r="P307" s="151">
        <v>957525</v>
      </c>
      <c r="Q307" s="151">
        <v>997653</v>
      </c>
      <c r="R307" s="151">
        <v>3896038</v>
      </c>
      <c r="S307" s="151">
        <v>2337343</v>
      </c>
      <c r="T307" s="151">
        <v>16062784</v>
      </c>
      <c r="U307" s="151">
        <v>16711297</v>
      </c>
      <c r="V307" s="151">
        <v>32492841</v>
      </c>
      <c r="W307" s="151">
        <v>7597123</v>
      </c>
      <c r="X307" s="151">
        <v>100459660</v>
      </c>
      <c r="Y307" s="151">
        <v>234349</v>
      </c>
      <c r="Z307" s="151">
        <v>82957</v>
      </c>
      <c r="AA307" s="151">
        <v>3082726</v>
      </c>
      <c r="AB307" s="151">
        <v>3329714</v>
      </c>
      <c r="AC307" s="151">
        <v>20748648</v>
      </c>
      <c r="AD307" s="151">
        <v>26814109</v>
      </c>
      <c r="AE307" s="151">
        <v>18160063</v>
      </c>
      <c r="AF307" s="151"/>
      <c r="AG307" s="151"/>
      <c r="AH307" s="151"/>
      <c r="AI307" s="151"/>
    </row>
    <row r="308" spans="1:35" x14ac:dyDescent="0.35">
      <c r="B308" s="9">
        <v>4</v>
      </c>
      <c r="C308" s="122" t="str">
        <f>'Option inputs'!$C$18</f>
        <v>Option 2A</v>
      </c>
      <c r="D308" s="62"/>
      <c r="E308" s="68" t="s">
        <v>35</v>
      </c>
      <c r="F308" s="151"/>
      <c r="G308" s="151">
        <v>22075318</v>
      </c>
      <c r="H308" s="151">
        <v>4106310</v>
      </c>
      <c r="I308" s="151">
        <v>9472635</v>
      </c>
      <c r="J308" s="151">
        <v>7135303</v>
      </c>
      <c r="K308" s="151">
        <v>13148860</v>
      </c>
      <c r="L308" s="151">
        <v>525</v>
      </c>
      <c r="M308" s="151">
        <v>4365336</v>
      </c>
      <c r="N308" s="151">
        <v>589</v>
      </c>
      <c r="O308" s="151">
        <v>8961196</v>
      </c>
      <c r="P308" s="151">
        <v>7813716</v>
      </c>
      <c r="Q308" s="151">
        <v>6149440</v>
      </c>
      <c r="R308" s="151">
        <v>7586926</v>
      </c>
      <c r="S308" s="151">
        <v>4992933</v>
      </c>
      <c r="T308" s="151">
        <v>16863539</v>
      </c>
      <c r="U308" s="151">
        <v>18108537</v>
      </c>
      <c r="V308" s="151">
        <v>44899369</v>
      </c>
      <c r="W308" s="151">
        <v>18001524</v>
      </c>
      <c r="X308" s="151">
        <v>110103861</v>
      </c>
      <c r="Y308" s="151">
        <v>195876</v>
      </c>
      <c r="Z308" s="151">
        <v>435303</v>
      </c>
      <c r="AA308" s="151">
        <v>5240063</v>
      </c>
      <c r="AB308" s="151">
        <v>15832424</v>
      </c>
      <c r="AC308" s="151">
        <v>20746608</v>
      </c>
      <c r="AD308" s="151">
        <v>32751907</v>
      </c>
      <c r="AE308" s="151">
        <v>19780080</v>
      </c>
      <c r="AF308" s="151"/>
      <c r="AG308" s="151"/>
      <c r="AH308" s="151"/>
      <c r="AI308" s="151"/>
    </row>
    <row r="309" spans="1:35" x14ac:dyDescent="0.35">
      <c r="B309" s="9">
        <v>5</v>
      </c>
      <c r="C309" s="122" t="str">
        <f>'Option inputs'!$C$19</f>
        <v>Option 2B</v>
      </c>
      <c r="D309" s="62"/>
      <c r="E309" s="68" t="s">
        <v>35</v>
      </c>
      <c r="F309" s="151"/>
      <c r="G309" s="151">
        <v>22077820</v>
      </c>
      <c r="H309" s="151">
        <v>4108975</v>
      </c>
      <c r="I309" s="151">
        <v>9475287</v>
      </c>
      <c r="J309" s="151">
        <v>7138313</v>
      </c>
      <c r="K309" s="151">
        <v>13147241</v>
      </c>
      <c r="L309" s="151">
        <v>4031</v>
      </c>
      <c r="M309" s="151">
        <v>3978412</v>
      </c>
      <c r="N309" s="151">
        <v>4488</v>
      </c>
      <c r="O309" s="151">
        <v>5911379</v>
      </c>
      <c r="P309" s="151">
        <v>2301304</v>
      </c>
      <c r="Q309" s="151">
        <v>1540130</v>
      </c>
      <c r="R309" s="151">
        <v>2756244</v>
      </c>
      <c r="S309" s="151">
        <v>1556928</v>
      </c>
      <c r="T309" s="151">
        <v>16498268</v>
      </c>
      <c r="U309" s="151">
        <v>15404581</v>
      </c>
      <c r="V309" s="151">
        <v>33012032</v>
      </c>
      <c r="W309" s="151">
        <v>8847990</v>
      </c>
      <c r="X309" s="151">
        <v>90674804</v>
      </c>
      <c r="Y309" s="151">
        <v>301695</v>
      </c>
      <c r="Z309" s="151">
        <v>390985</v>
      </c>
      <c r="AA309" s="151">
        <v>7790042</v>
      </c>
      <c r="AB309" s="151">
        <v>7776560</v>
      </c>
      <c r="AC309" s="151">
        <v>20948414</v>
      </c>
      <c r="AD309" s="151">
        <v>33024523</v>
      </c>
      <c r="AE309" s="151">
        <v>32109539</v>
      </c>
      <c r="AF309" s="151"/>
      <c r="AG309" s="151"/>
      <c r="AH309" s="151"/>
      <c r="AI309" s="151"/>
    </row>
    <row r="310" spans="1:35" x14ac:dyDescent="0.35">
      <c r="B310" s="9">
        <v>6</v>
      </c>
      <c r="C310" s="122" t="str">
        <f>'Option inputs'!$C$20</f>
        <v>Option 2C</v>
      </c>
      <c r="D310" s="62"/>
      <c r="E310" s="68" t="s">
        <v>35</v>
      </c>
      <c r="F310" s="151"/>
      <c r="G310" s="151">
        <v>22080202</v>
      </c>
      <c r="H310" s="151">
        <v>4111498</v>
      </c>
      <c r="I310" s="151">
        <v>9477813</v>
      </c>
      <c r="J310" s="151">
        <v>7140950</v>
      </c>
      <c r="K310" s="151">
        <v>11251085</v>
      </c>
      <c r="L310" s="151">
        <v>7288</v>
      </c>
      <c r="M310" s="151">
        <v>2708019</v>
      </c>
      <c r="N310" s="151">
        <v>7826</v>
      </c>
      <c r="O310" s="151">
        <v>5915581</v>
      </c>
      <c r="P310" s="151">
        <v>2305604</v>
      </c>
      <c r="Q310" s="151">
        <v>1544782</v>
      </c>
      <c r="R310" s="151">
        <v>2761155</v>
      </c>
      <c r="S310" s="151">
        <v>1562829</v>
      </c>
      <c r="T310" s="151">
        <v>16503637</v>
      </c>
      <c r="U310" s="151">
        <v>15409359</v>
      </c>
      <c r="V310" s="151">
        <v>33021665</v>
      </c>
      <c r="W310" s="151">
        <v>8852878</v>
      </c>
      <c r="X310" s="151">
        <v>90681148</v>
      </c>
      <c r="Y310" s="151">
        <v>307103</v>
      </c>
      <c r="Z310" s="151">
        <v>396812</v>
      </c>
      <c r="AA310" s="151">
        <v>7796151</v>
      </c>
      <c r="AB310" s="151">
        <v>7782711</v>
      </c>
      <c r="AC310" s="151">
        <v>20954757</v>
      </c>
      <c r="AD310" s="151">
        <v>33031244</v>
      </c>
      <c r="AE310" s="151">
        <v>32118014</v>
      </c>
      <c r="AF310" s="151"/>
      <c r="AG310" s="151"/>
      <c r="AH310" s="151"/>
      <c r="AI310" s="151"/>
    </row>
    <row r="311" spans="1:35" x14ac:dyDescent="0.35">
      <c r="B311" s="9">
        <v>7</v>
      </c>
      <c r="C311" s="122" t="str">
        <f>'Option inputs'!$C$21</f>
        <v>Option 3A</v>
      </c>
      <c r="D311" s="62"/>
      <c r="E311" s="68" t="s">
        <v>35</v>
      </c>
      <c r="F311" s="130"/>
      <c r="G311" s="130">
        <v>22075367</v>
      </c>
      <c r="H311" s="151">
        <v>4106363</v>
      </c>
      <c r="I311" s="151">
        <v>9472681</v>
      </c>
      <c r="J311" s="151">
        <v>7135354</v>
      </c>
      <c r="K311" s="151">
        <v>13359526</v>
      </c>
      <c r="L311" s="151">
        <v>595</v>
      </c>
      <c r="M311" s="151">
        <v>8434597</v>
      </c>
      <c r="N311" s="151">
        <v>667</v>
      </c>
      <c r="O311" s="151">
        <v>10736822</v>
      </c>
      <c r="P311" s="151">
        <v>12034497</v>
      </c>
      <c r="Q311" s="151">
        <v>8336740</v>
      </c>
      <c r="R311" s="151">
        <v>7443647</v>
      </c>
      <c r="S311" s="151">
        <v>3254361</v>
      </c>
      <c r="T311" s="151">
        <v>17007749</v>
      </c>
      <c r="U311" s="151">
        <v>18203046</v>
      </c>
      <c r="V311" s="151">
        <v>45205817</v>
      </c>
      <c r="W311" s="151">
        <v>20429589</v>
      </c>
      <c r="X311" s="151">
        <v>105265995</v>
      </c>
      <c r="Y311" s="151">
        <v>312868</v>
      </c>
      <c r="Z311" s="151">
        <v>120650</v>
      </c>
      <c r="AA311" s="151">
        <v>3733988</v>
      </c>
      <c r="AB311" s="151">
        <v>7204993</v>
      </c>
      <c r="AC311" s="151">
        <v>20707246</v>
      </c>
      <c r="AD311" s="151">
        <v>28577920</v>
      </c>
      <c r="AE311" s="151">
        <v>14902855</v>
      </c>
      <c r="AF311" s="151"/>
      <c r="AG311" s="151"/>
      <c r="AH311" s="151"/>
      <c r="AI311" s="151"/>
    </row>
    <row r="312" spans="1:35" x14ac:dyDescent="0.35">
      <c r="B312" s="64">
        <f>+'Option inputs'!$B$22</f>
        <v>8</v>
      </c>
      <c r="C312" s="122" t="str">
        <f>'Option inputs'!$C$22</f>
        <v>Option 3B</v>
      </c>
      <c r="D312" s="62"/>
      <c r="E312" s="68" t="s">
        <v>35</v>
      </c>
      <c r="F312" s="130"/>
      <c r="G312" s="130">
        <v>22077055</v>
      </c>
      <c r="H312" s="151">
        <v>4108146</v>
      </c>
      <c r="I312" s="151">
        <v>9474411</v>
      </c>
      <c r="J312" s="151">
        <v>7137302</v>
      </c>
      <c r="K312" s="151">
        <v>13322733</v>
      </c>
      <c r="L312" s="151">
        <v>2877</v>
      </c>
      <c r="M312" s="151">
        <v>7557626</v>
      </c>
      <c r="N312" s="151">
        <v>3193</v>
      </c>
      <c r="O312" s="151">
        <v>5841164</v>
      </c>
      <c r="P312" s="151">
        <v>2138392</v>
      </c>
      <c r="Q312" s="151">
        <v>1565656</v>
      </c>
      <c r="R312" s="151">
        <v>3213107</v>
      </c>
      <c r="S312" s="151">
        <v>1874414</v>
      </c>
      <c r="T312" s="151">
        <v>16592423</v>
      </c>
      <c r="U312" s="151">
        <v>15477356</v>
      </c>
      <c r="V312" s="151">
        <v>32630750</v>
      </c>
      <c r="W312" s="151">
        <v>8829559</v>
      </c>
      <c r="X312" s="151">
        <v>97794228</v>
      </c>
      <c r="Y312" s="151">
        <v>304989</v>
      </c>
      <c r="Z312" s="151">
        <v>387220</v>
      </c>
      <c r="AA312" s="151">
        <v>7286473</v>
      </c>
      <c r="AB312" s="151">
        <v>7979361</v>
      </c>
      <c r="AC312" s="151">
        <v>20928107</v>
      </c>
      <c r="AD312" s="151">
        <v>32761540</v>
      </c>
      <c r="AE312" s="151">
        <v>31004188</v>
      </c>
      <c r="AF312" s="151"/>
      <c r="AG312" s="151"/>
      <c r="AH312" s="151"/>
      <c r="AI312" s="151"/>
    </row>
    <row r="313" spans="1:35" x14ac:dyDescent="0.35">
      <c r="B313" s="64">
        <f>+'Option inputs'!$B$23</f>
        <v>9</v>
      </c>
      <c r="C313" s="122" t="str">
        <f>'Option inputs'!$C$23</f>
        <v>Option 3C</v>
      </c>
      <c r="D313" s="62"/>
      <c r="E313" s="68" t="s">
        <v>35</v>
      </c>
      <c r="F313" s="130"/>
      <c r="G313" s="130">
        <v>22078184</v>
      </c>
      <c r="H313" s="151">
        <v>4109357</v>
      </c>
      <c r="I313" s="151">
        <v>9475571</v>
      </c>
      <c r="J313" s="151">
        <v>7138635</v>
      </c>
      <c r="K313" s="151">
        <v>12360706</v>
      </c>
      <c r="L313" s="151">
        <v>4516</v>
      </c>
      <c r="M313" s="151">
        <v>2677142</v>
      </c>
      <c r="N313" s="151">
        <v>5042</v>
      </c>
      <c r="O313" s="151">
        <v>5847470</v>
      </c>
      <c r="P313" s="151">
        <v>2153432</v>
      </c>
      <c r="Q313" s="151">
        <v>1570248</v>
      </c>
      <c r="R313" s="151">
        <v>3219488</v>
      </c>
      <c r="S313" s="151">
        <v>1872310</v>
      </c>
      <c r="T313" s="151">
        <v>16593172</v>
      </c>
      <c r="U313" s="151">
        <v>15480165</v>
      </c>
      <c r="V313" s="151">
        <v>32615982</v>
      </c>
      <c r="W313" s="151">
        <v>8832742</v>
      </c>
      <c r="X313" s="151">
        <v>97807248</v>
      </c>
      <c r="Y313" s="151">
        <v>308595</v>
      </c>
      <c r="Z313" s="151">
        <v>391296</v>
      </c>
      <c r="AA313" s="151">
        <v>7291484</v>
      </c>
      <c r="AB313" s="151">
        <v>7986671</v>
      </c>
      <c r="AC313" s="151">
        <v>20932683</v>
      </c>
      <c r="AD313" s="151">
        <v>32766834</v>
      </c>
      <c r="AE313" s="151">
        <v>31008730</v>
      </c>
      <c r="AF313" s="151"/>
      <c r="AG313" s="151"/>
      <c r="AH313" s="151"/>
      <c r="AI313" s="151"/>
    </row>
    <row r="314" spans="1:35" x14ac:dyDescent="0.35">
      <c r="B314" s="64">
        <f>+'Option inputs'!$B$24</f>
        <v>10</v>
      </c>
      <c r="C314" s="122" t="str">
        <f>'Option inputs'!$C$24</f>
        <v>Option 4A</v>
      </c>
      <c r="D314" s="62"/>
      <c r="E314" s="68" t="s">
        <v>35</v>
      </c>
      <c r="F314" s="130"/>
      <c r="G314" s="130">
        <v>22078508</v>
      </c>
      <c r="H314" s="151">
        <v>4109718</v>
      </c>
      <c r="I314" s="151">
        <v>9475869</v>
      </c>
      <c r="J314" s="151">
        <v>7138956</v>
      </c>
      <c r="K314" s="151">
        <v>13377136</v>
      </c>
      <c r="L314" s="151">
        <v>4929</v>
      </c>
      <c r="M314" s="151">
        <v>7688308</v>
      </c>
      <c r="N314" s="151">
        <v>5493</v>
      </c>
      <c r="O314" s="151">
        <v>10492822</v>
      </c>
      <c r="P314" s="151">
        <v>12999704</v>
      </c>
      <c r="Q314" s="151">
        <v>8132608</v>
      </c>
      <c r="R314" s="151">
        <v>7248845</v>
      </c>
      <c r="S314" s="151">
        <v>3213900</v>
      </c>
      <c r="T314" s="151">
        <v>17029084</v>
      </c>
      <c r="U314" s="151">
        <v>17933348</v>
      </c>
      <c r="V314" s="151">
        <v>45595329</v>
      </c>
      <c r="W314" s="151">
        <v>20691952</v>
      </c>
      <c r="X314" s="151">
        <v>107792649</v>
      </c>
      <c r="Y314" s="151">
        <v>324519</v>
      </c>
      <c r="Z314" s="151">
        <v>155993</v>
      </c>
      <c r="AA314" s="151">
        <v>4392206</v>
      </c>
      <c r="AB314" s="151">
        <v>7525270</v>
      </c>
      <c r="AC314" s="151">
        <v>20735931</v>
      </c>
      <c r="AD314" s="151">
        <v>30163744</v>
      </c>
      <c r="AE314" s="151">
        <v>15237353</v>
      </c>
      <c r="AF314" s="151"/>
      <c r="AG314" s="151"/>
      <c r="AH314" s="151"/>
      <c r="AI314" s="151"/>
    </row>
    <row r="315" spans="1:35" x14ac:dyDescent="0.35">
      <c r="B315" s="64">
        <f>+'Option inputs'!$B$25</f>
        <v>11</v>
      </c>
      <c r="C315" s="122" t="str">
        <f>'Option inputs'!$C$25</f>
        <v>Option 4B</v>
      </c>
      <c r="D315" s="62"/>
      <c r="E315" s="68" t="s">
        <v>35</v>
      </c>
      <c r="F315" s="130"/>
      <c r="G315" s="130">
        <v>22078129</v>
      </c>
      <c r="H315" s="151">
        <v>4109279</v>
      </c>
      <c r="I315" s="151">
        <v>9475628</v>
      </c>
      <c r="J315" s="151">
        <v>7138665</v>
      </c>
      <c r="K315" s="151">
        <v>13321801</v>
      </c>
      <c r="L315" s="151">
        <v>4417</v>
      </c>
      <c r="M315" s="151">
        <v>4584127</v>
      </c>
      <c r="N315" s="151">
        <v>4942</v>
      </c>
      <c r="O315" s="151">
        <v>1632435</v>
      </c>
      <c r="P315" s="151">
        <v>1111540</v>
      </c>
      <c r="Q315" s="151">
        <v>174653</v>
      </c>
      <c r="R315" s="151">
        <v>446121</v>
      </c>
      <c r="S315" s="151">
        <v>1173219</v>
      </c>
      <c r="T315" s="151">
        <v>15378286</v>
      </c>
      <c r="U315" s="151">
        <v>15210545</v>
      </c>
      <c r="V315" s="151">
        <v>29374807</v>
      </c>
      <c r="W315" s="151">
        <v>6578193</v>
      </c>
      <c r="X315" s="151">
        <v>56471296</v>
      </c>
      <c r="Y315" s="151">
        <v>261836</v>
      </c>
      <c r="Z315" s="151">
        <v>495173</v>
      </c>
      <c r="AA315" s="151">
        <v>7675194</v>
      </c>
      <c r="AB315" s="151">
        <v>5877549</v>
      </c>
      <c r="AC315" s="151">
        <v>21028519</v>
      </c>
      <c r="AD315" s="151">
        <v>28423924</v>
      </c>
      <c r="AE315" s="151">
        <v>34000680</v>
      </c>
      <c r="AF315" s="151"/>
      <c r="AG315" s="151"/>
      <c r="AH315" s="151"/>
      <c r="AI315" s="151"/>
    </row>
    <row r="316" spans="1:35" x14ac:dyDescent="0.35">
      <c r="B316" s="64">
        <f>+'Option inputs'!$B$26</f>
        <v>12</v>
      </c>
      <c r="C316" s="122" t="str">
        <f>'Option inputs'!$C$26</f>
        <v>Option 4C</v>
      </c>
      <c r="D316" s="62"/>
      <c r="E316" s="68" t="s">
        <v>35</v>
      </c>
      <c r="F316" s="130"/>
      <c r="G316" s="130">
        <v>22076289</v>
      </c>
      <c r="H316" s="151">
        <v>4107358</v>
      </c>
      <c r="I316" s="151">
        <v>9473569</v>
      </c>
      <c r="J316" s="151">
        <v>7136412</v>
      </c>
      <c r="K316" s="151">
        <v>12358289</v>
      </c>
      <c r="L316" s="151">
        <v>1915</v>
      </c>
      <c r="M316" s="151">
        <v>2338570</v>
      </c>
      <c r="N316" s="151">
        <v>2148</v>
      </c>
      <c r="O316" s="151">
        <v>1627563</v>
      </c>
      <c r="P316" s="151">
        <v>1107667</v>
      </c>
      <c r="Q316" s="151">
        <v>171244</v>
      </c>
      <c r="R316" s="151">
        <v>442633</v>
      </c>
      <c r="S316" s="151">
        <v>1169405</v>
      </c>
      <c r="T316" s="151">
        <v>15374343</v>
      </c>
      <c r="U316" s="151">
        <v>15206898</v>
      </c>
      <c r="V316" s="151">
        <v>29367957</v>
      </c>
      <c r="W316" s="151">
        <v>6573650</v>
      </c>
      <c r="X316" s="151">
        <v>56464978</v>
      </c>
      <c r="Y316" s="151">
        <v>256685</v>
      </c>
      <c r="Z316" s="151">
        <v>489620</v>
      </c>
      <c r="AA316" s="151">
        <v>7668633</v>
      </c>
      <c r="AB316" s="151">
        <v>5871243</v>
      </c>
      <c r="AC316" s="151">
        <v>21021880</v>
      </c>
      <c r="AD316" s="151">
        <v>28416371</v>
      </c>
      <c r="AE316" s="151">
        <v>33991518</v>
      </c>
      <c r="AF316" s="151"/>
      <c r="AG316" s="151"/>
      <c r="AH316" s="151"/>
      <c r="AI316" s="151"/>
    </row>
    <row r="317" spans="1:35" x14ac:dyDescent="0.35">
      <c r="E317" s="66"/>
      <c r="AF317" s="46"/>
      <c r="AG317" s="46"/>
      <c r="AH317" s="46"/>
      <c r="AI317" s="46"/>
    </row>
    <row r="318" spans="1:35" x14ac:dyDescent="0.35">
      <c r="B318" s="58" t="s">
        <v>76</v>
      </c>
      <c r="C318" s="58"/>
      <c r="D318" s="58"/>
      <c r="E318" s="114" t="s">
        <v>32</v>
      </c>
      <c r="F318" s="58" t="s">
        <v>84</v>
      </c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</row>
    <row r="319" spans="1:35" s="47" customFormat="1" x14ac:dyDescent="0.35">
      <c r="A319" s="87"/>
      <c r="B319" s="117"/>
      <c r="C319" s="117"/>
      <c r="D319" s="117"/>
      <c r="E319" s="118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/>
      <c r="AA319" s="117"/>
      <c r="AB319" s="117"/>
      <c r="AC319" s="117"/>
      <c r="AD319" s="117"/>
      <c r="AE319" s="117"/>
      <c r="AF319" s="117"/>
      <c r="AG319" s="117"/>
      <c r="AH319" s="117"/>
      <c r="AI319" s="117"/>
    </row>
    <row r="320" spans="1:35" x14ac:dyDescent="0.35">
      <c r="B320" s="59" t="s">
        <v>14</v>
      </c>
      <c r="C320" s="59" t="s">
        <v>13</v>
      </c>
      <c r="D320" s="80" t="str">
        <f>'Interface and charts'!$I$6</f>
        <v>Central</v>
      </c>
      <c r="E320" s="63" t="s">
        <v>7</v>
      </c>
      <c r="F320" s="171" t="str">
        <f>Calculation!G$56</f>
        <v>FY 2019-20</v>
      </c>
      <c r="G320" s="171" t="str">
        <f>Calculation!H$56</f>
        <v>FY 2020-21</v>
      </c>
      <c r="H320" s="171" t="str">
        <f>Calculation!I$56</f>
        <v>FY 2021-22</v>
      </c>
      <c r="I320" s="171" t="str">
        <f>Calculation!J$56</f>
        <v>FY 2022-23</v>
      </c>
      <c r="J320" s="171" t="str">
        <f>Calculation!K$56</f>
        <v>FY 2023-24</v>
      </c>
      <c r="K320" s="171" t="str">
        <f>Calculation!L$56</f>
        <v>FY 2024-25</v>
      </c>
      <c r="L320" s="171" t="str">
        <f>Calculation!M$56</f>
        <v>FY 2025-26</v>
      </c>
      <c r="M320" s="171" t="str">
        <f>Calculation!N$56</f>
        <v>FY 2026-27</v>
      </c>
      <c r="N320" s="171" t="str">
        <f>Calculation!O$56</f>
        <v>FY 2027-28</v>
      </c>
      <c r="O320" s="171" t="str">
        <f>Calculation!P$56</f>
        <v>FY 2028-29</v>
      </c>
      <c r="P320" s="171" t="str">
        <f>Calculation!Q$56</f>
        <v>FY 2029-30</v>
      </c>
      <c r="Q320" s="171" t="str">
        <f>Calculation!R$56</f>
        <v>FY 2030-31</v>
      </c>
      <c r="R320" s="171" t="str">
        <f>Calculation!S$56</f>
        <v>FY 2031-32</v>
      </c>
      <c r="S320" s="171" t="str">
        <f>Calculation!T$56</f>
        <v>FY 2032-33</v>
      </c>
      <c r="T320" s="171" t="str">
        <f>Calculation!U$56</f>
        <v>FY 2033-34</v>
      </c>
      <c r="U320" s="171" t="str">
        <f>Calculation!V$56</f>
        <v>FY 2034-35</v>
      </c>
      <c r="V320" s="171" t="str">
        <f>Calculation!W$56</f>
        <v>FY 2035-36</v>
      </c>
      <c r="W320" s="171" t="str">
        <f>Calculation!X$56</f>
        <v>FY 2036-37</v>
      </c>
      <c r="X320" s="171" t="str">
        <f>Calculation!Y$56</f>
        <v>FY 2037-38</v>
      </c>
      <c r="Y320" s="171" t="str">
        <f>Calculation!Z$56</f>
        <v>FY 2038-39</v>
      </c>
      <c r="Z320" s="171" t="str">
        <f>Calculation!AA$56</f>
        <v>FY 2039-40</v>
      </c>
      <c r="AA320" s="171" t="str">
        <f>Calculation!AB$56</f>
        <v>FY 2040-41</v>
      </c>
      <c r="AB320" s="171" t="str">
        <f>Calculation!AC$56</f>
        <v>FY 2041-42</v>
      </c>
      <c r="AC320" s="171" t="str">
        <f>Calculation!AD$56</f>
        <v>FY 2042-43</v>
      </c>
      <c r="AD320" s="171" t="str">
        <f>Calculation!AE$56</f>
        <v>FY 2043-44</v>
      </c>
      <c r="AE320" s="171" t="str">
        <f>Calculation!AF$56</f>
        <v>FY 2044-45</v>
      </c>
      <c r="AF320" s="171" t="str">
        <f>Calculation!AG$56</f>
        <v>FY 2045-46</v>
      </c>
      <c r="AG320" s="171" t="str">
        <f>Calculation!AH$56</f>
        <v>FY 2046-47</v>
      </c>
      <c r="AH320" s="171" t="str">
        <f>Calculation!AI$56</f>
        <v>FY 2047-48</v>
      </c>
      <c r="AI320" s="171" t="str">
        <f>Calculation!AJ$56</f>
        <v>FY 2048-49</v>
      </c>
    </row>
    <row r="321" spans="2:35" x14ac:dyDescent="0.35">
      <c r="B321" s="9">
        <v>0</v>
      </c>
      <c r="C321" s="123" t="str">
        <f>'Option inputs'!$C$14</f>
        <v>Base case</v>
      </c>
      <c r="D321" s="62"/>
      <c r="E321" s="68" t="s">
        <v>35</v>
      </c>
      <c r="F321" s="151"/>
      <c r="G321" s="151">
        <v>853306176</v>
      </c>
      <c r="H321" s="151">
        <v>838637887</v>
      </c>
      <c r="I321" s="151">
        <v>837289876</v>
      </c>
      <c r="J321" s="151">
        <v>1699258617</v>
      </c>
      <c r="K321" s="151">
        <v>2161670338</v>
      </c>
      <c r="L321" s="151">
        <v>2148955455</v>
      </c>
      <c r="M321" s="151">
        <v>1937323924</v>
      </c>
      <c r="N321" s="151">
        <v>1970986123</v>
      </c>
      <c r="O321" s="151">
        <v>4073222312</v>
      </c>
      <c r="P321" s="151">
        <v>3752193894</v>
      </c>
      <c r="Q321" s="151">
        <v>1541610945</v>
      </c>
      <c r="R321" s="151">
        <v>6260297706</v>
      </c>
      <c r="S321" s="151">
        <v>5829164663</v>
      </c>
      <c r="T321" s="151">
        <v>2270720600</v>
      </c>
      <c r="U321" s="151">
        <v>2223148487</v>
      </c>
      <c r="V321" s="151">
        <v>8784110463</v>
      </c>
      <c r="W321" s="151">
        <v>3216674382</v>
      </c>
      <c r="X321" s="151">
        <v>8203468131</v>
      </c>
      <c r="Y321" s="151">
        <v>1581119756</v>
      </c>
      <c r="Z321" s="151">
        <v>1411762708</v>
      </c>
      <c r="AA321" s="151">
        <v>819888124</v>
      </c>
      <c r="AB321" s="151">
        <v>2382224325</v>
      </c>
      <c r="AC321" s="151">
        <v>3176517217</v>
      </c>
      <c r="AD321" s="151">
        <v>1019431758</v>
      </c>
      <c r="AE321" s="151">
        <v>963370474</v>
      </c>
      <c r="AF321" s="151"/>
      <c r="AG321" s="151"/>
      <c r="AH321" s="151"/>
      <c r="AI321" s="151"/>
    </row>
    <row r="322" spans="2:35" x14ac:dyDescent="0.35">
      <c r="B322" s="9">
        <v>1</v>
      </c>
      <c r="C322" s="122" t="str">
        <f>'Option inputs'!$C$15</f>
        <v>Option 1A</v>
      </c>
      <c r="D322" s="62"/>
      <c r="E322" s="68" t="s">
        <v>35</v>
      </c>
      <c r="F322" s="151"/>
      <c r="G322" s="151">
        <v>853304119</v>
      </c>
      <c r="H322" s="151">
        <v>838632373</v>
      </c>
      <c r="I322" s="151">
        <v>837306515</v>
      </c>
      <c r="J322" s="151">
        <v>1372992742</v>
      </c>
      <c r="K322" s="151">
        <v>1623943317</v>
      </c>
      <c r="L322" s="151">
        <v>2118330924</v>
      </c>
      <c r="M322" s="151">
        <v>1905909321</v>
      </c>
      <c r="N322" s="151">
        <v>2015234611</v>
      </c>
      <c r="O322" s="151">
        <v>3765946445</v>
      </c>
      <c r="P322" s="151">
        <v>3298141971</v>
      </c>
      <c r="Q322" s="151">
        <v>1551981296</v>
      </c>
      <c r="R322" s="151">
        <v>6438752397</v>
      </c>
      <c r="S322" s="151">
        <v>5897568681</v>
      </c>
      <c r="T322" s="151">
        <v>2257133244</v>
      </c>
      <c r="U322" s="151">
        <v>2210264638</v>
      </c>
      <c r="V322" s="151">
        <v>9028420194</v>
      </c>
      <c r="W322" s="151">
        <v>3087426606</v>
      </c>
      <c r="X322" s="151">
        <v>8295477628</v>
      </c>
      <c r="Y322" s="151">
        <v>1562766734</v>
      </c>
      <c r="Z322" s="151">
        <v>1476248240</v>
      </c>
      <c r="AA322" s="151">
        <v>872273592</v>
      </c>
      <c r="AB322" s="151">
        <v>2289039218</v>
      </c>
      <c r="AC322" s="151">
        <v>3190527482</v>
      </c>
      <c r="AD322" s="151">
        <v>1008148477</v>
      </c>
      <c r="AE322" s="151">
        <v>979896359</v>
      </c>
      <c r="AF322" s="151"/>
      <c r="AG322" s="151"/>
      <c r="AH322" s="151"/>
      <c r="AI322" s="151"/>
    </row>
    <row r="323" spans="2:35" x14ac:dyDescent="0.35">
      <c r="B323" s="9">
        <v>2</v>
      </c>
      <c r="C323" s="122" t="str">
        <f>'Option inputs'!$C$16</f>
        <v>Option 1B</v>
      </c>
      <c r="D323" s="62"/>
      <c r="E323" s="68" t="s">
        <v>35</v>
      </c>
      <c r="F323" s="151"/>
      <c r="G323" s="151">
        <v>853257141</v>
      </c>
      <c r="H323" s="151">
        <v>838628697</v>
      </c>
      <c r="I323" s="151">
        <v>837277936</v>
      </c>
      <c r="J323" s="151">
        <v>1366069743</v>
      </c>
      <c r="K323" s="151">
        <v>1623456746</v>
      </c>
      <c r="L323" s="151">
        <v>2117946539</v>
      </c>
      <c r="M323" s="151">
        <v>1903950318</v>
      </c>
      <c r="N323" s="151">
        <v>2016930895</v>
      </c>
      <c r="O323" s="151">
        <v>3768739294</v>
      </c>
      <c r="P323" s="151">
        <v>2430385825</v>
      </c>
      <c r="Q323" s="151">
        <v>2361446046</v>
      </c>
      <c r="R323" s="151">
        <v>5378438839</v>
      </c>
      <c r="S323" s="151">
        <v>6299032717</v>
      </c>
      <c r="T323" s="151">
        <v>2370867218</v>
      </c>
      <c r="U323" s="151">
        <v>2187131499</v>
      </c>
      <c r="V323" s="151">
        <v>9043114149</v>
      </c>
      <c r="W323" s="151">
        <v>3099255230</v>
      </c>
      <c r="X323" s="151">
        <v>8575610802</v>
      </c>
      <c r="Y323" s="151">
        <v>1495031188</v>
      </c>
      <c r="Z323" s="151">
        <v>1460835970</v>
      </c>
      <c r="AA323" s="151">
        <v>831990910</v>
      </c>
      <c r="AB323" s="151">
        <v>2416258544</v>
      </c>
      <c r="AC323" s="151">
        <v>3189613569</v>
      </c>
      <c r="AD323" s="151">
        <v>987191470</v>
      </c>
      <c r="AE323" s="151">
        <v>983768633</v>
      </c>
      <c r="AF323" s="151"/>
      <c r="AG323" s="151"/>
      <c r="AH323" s="151"/>
      <c r="AI323" s="151"/>
    </row>
    <row r="324" spans="2:35" x14ac:dyDescent="0.35">
      <c r="B324" s="9">
        <v>3</v>
      </c>
      <c r="C324" s="122" t="str">
        <f>'Option inputs'!$C$17</f>
        <v>Option 1C</v>
      </c>
      <c r="D324" s="62"/>
      <c r="E324" s="68" t="s">
        <v>35</v>
      </c>
      <c r="F324" s="151"/>
      <c r="G324" s="151">
        <v>853298326</v>
      </c>
      <c r="H324" s="151">
        <v>838637639</v>
      </c>
      <c r="I324" s="151">
        <v>837285084</v>
      </c>
      <c r="J324" s="151">
        <v>1716528175</v>
      </c>
      <c r="K324" s="151">
        <v>1620260434</v>
      </c>
      <c r="L324" s="151">
        <v>2115714179</v>
      </c>
      <c r="M324" s="151">
        <v>1911863404</v>
      </c>
      <c r="N324" s="151">
        <v>2019663963</v>
      </c>
      <c r="O324" s="151">
        <v>3753794761</v>
      </c>
      <c r="P324" s="151">
        <v>2259568119</v>
      </c>
      <c r="Q324" s="151">
        <v>2282977065</v>
      </c>
      <c r="R324" s="151">
        <v>5379161549</v>
      </c>
      <c r="S324" s="151">
        <v>6299032734</v>
      </c>
      <c r="T324" s="151">
        <v>2370701651</v>
      </c>
      <c r="U324" s="151">
        <v>2187259547</v>
      </c>
      <c r="V324" s="151">
        <v>9042758828</v>
      </c>
      <c r="W324" s="151">
        <v>3099547702</v>
      </c>
      <c r="X324" s="151">
        <v>8575630351</v>
      </c>
      <c r="Y324" s="151">
        <v>1495411887</v>
      </c>
      <c r="Z324" s="151">
        <v>1460731484</v>
      </c>
      <c r="AA324" s="151">
        <v>832035566</v>
      </c>
      <c r="AB324" s="151">
        <v>2416077662</v>
      </c>
      <c r="AC324" s="151">
        <v>3189528661</v>
      </c>
      <c r="AD324" s="151">
        <v>987206444</v>
      </c>
      <c r="AE324" s="151">
        <v>983780430</v>
      </c>
      <c r="AF324" s="151"/>
      <c r="AG324" s="151"/>
      <c r="AH324" s="151"/>
      <c r="AI324" s="151"/>
    </row>
    <row r="325" spans="2:35" x14ac:dyDescent="0.35">
      <c r="B325" s="9">
        <v>4</v>
      </c>
      <c r="C325" s="122" t="str">
        <f>'Option inputs'!$C$18</f>
        <v>Option 2A</v>
      </c>
      <c r="D325" s="62"/>
      <c r="E325" s="68" t="s">
        <v>35</v>
      </c>
      <c r="F325" s="151"/>
      <c r="G325" s="151">
        <v>853317919</v>
      </c>
      <c r="H325" s="151">
        <v>838636404</v>
      </c>
      <c r="I325" s="151">
        <v>837305561</v>
      </c>
      <c r="J325" s="151">
        <v>1194093354</v>
      </c>
      <c r="K325" s="151">
        <v>1625536177</v>
      </c>
      <c r="L325" s="151">
        <v>2119572660</v>
      </c>
      <c r="M325" s="151">
        <v>1918148581</v>
      </c>
      <c r="N325" s="151">
        <v>2021547862</v>
      </c>
      <c r="O325" s="151">
        <v>3762356834</v>
      </c>
      <c r="P325" s="151">
        <v>3121253602</v>
      </c>
      <c r="Q325" s="151">
        <v>1989859237</v>
      </c>
      <c r="R325" s="151">
        <v>6282243621</v>
      </c>
      <c r="S325" s="151">
        <v>5790128691</v>
      </c>
      <c r="T325" s="151">
        <v>2359312102</v>
      </c>
      <c r="U325" s="151">
        <v>2349874204</v>
      </c>
      <c r="V325" s="151">
        <v>8738884097</v>
      </c>
      <c r="W325" s="151">
        <v>3237146155</v>
      </c>
      <c r="X325" s="151">
        <v>9684318115</v>
      </c>
      <c r="Y325" s="151">
        <v>1655376809</v>
      </c>
      <c r="Z325" s="151">
        <v>1312730902</v>
      </c>
      <c r="AA325" s="151">
        <v>772042515</v>
      </c>
      <c r="AB325" s="151">
        <v>2423996763</v>
      </c>
      <c r="AC325" s="151">
        <v>3337582507</v>
      </c>
      <c r="AD325" s="151">
        <v>919309304</v>
      </c>
      <c r="AE325" s="151">
        <v>964725339</v>
      </c>
      <c r="AF325" s="151"/>
      <c r="AG325" s="151"/>
      <c r="AH325" s="151"/>
      <c r="AI325" s="151"/>
    </row>
    <row r="326" spans="2:35" x14ac:dyDescent="0.35">
      <c r="B326" s="9">
        <v>5</v>
      </c>
      <c r="C326" s="122" t="str">
        <f>'Option inputs'!$C$19</f>
        <v>Option 2B</v>
      </c>
      <c r="D326" s="62"/>
      <c r="E326" s="68" t="s">
        <v>35</v>
      </c>
      <c r="F326" s="151"/>
      <c r="G326" s="151">
        <v>853304893</v>
      </c>
      <c r="H326" s="151">
        <v>838635554</v>
      </c>
      <c r="I326" s="151">
        <v>837294320</v>
      </c>
      <c r="J326" s="151">
        <v>1148916386</v>
      </c>
      <c r="K326" s="151">
        <v>1625297917</v>
      </c>
      <c r="L326" s="151">
        <v>2119307473</v>
      </c>
      <c r="M326" s="151">
        <v>1917799055</v>
      </c>
      <c r="N326" s="151">
        <v>2022069889</v>
      </c>
      <c r="O326" s="151">
        <v>3763607914</v>
      </c>
      <c r="P326" s="151">
        <v>2856857114</v>
      </c>
      <c r="Q326" s="151">
        <v>2344828754</v>
      </c>
      <c r="R326" s="151">
        <v>5429950515</v>
      </c>
      <c r="S326" s="151">
        <v>6028715450</v>
      </c>
      <c r="T326" s="151">
        <v>2401062189</v>
      </c>
      <c r="U326" s="151">
        <v>2202568098</v>
      </c>
      <c r="V326" s="151">
        <v>9097717687</v>
      </c>
      <c r="W326" s="151">
        <v>3174768817</v>
      </c>
      <c r="X326" s="151">
        <v>9610398665</v>
      </c>
      <c r="Y326" s="151">
        <v>1767302108</v>
      </c>
      <c r="Z326" s="151">
        <v>1470051149</v>
      </c>
      <c r="AA326" s="151">
        <v>763501410</v>
      </c>
      <c r="AB326" s="151">
        <v>2384951671</v>
      </c>
      <c r="AC326" s="151">
        <v>3387509001</v>
      </c>
      <c r="AD326" s="151">
        <v>894665473</v>
      </c>
      <c r="AE326" s="151">
        <v>970996145</v>
      </c>
      <c r="AF326" s="151"/>
      <c r="AG326" s="151"/>
      <c r="AH326" s="151"/>
      <c r="AI326" s="151"/>
    </row>
    <row r="327" spans="2:35" x14ac:dyDescent="0.35">
      <c r="B327" s="9">
        <v>6</v>
      </c>
      <c r="C327" s="122" t="str">
        <f>'Option inputs'!$C$20</f>
        <v>Option 2C</v>
      </c>
      <c r="D327" s="62"/>
      <c r="E327" s="68" t="s">
        <v>35</v>
      </c>
      <c r="F327" s="151"/>
      <c r="G327" s="151">
        <v>853309416</v>
      </c>
      <c r="H327" s="151">
        <v>838640036</v>
      </c>
      <c r="I327" s="151">
        <v>837289832</v>
      </c>
      <c r="J327" s="151">
        <v>927291252</v>
      </c>
      <c r="K327" s="151">
        <v>1627022730</v>
      </c>
      <c r="L327" s="151">
        <v>2120760091</v>
      </c>
      <c r="M327" s="151">
        <v>1913885567</v>
      </c>
      <c r="N327" s="151">
        <v>2022688674</v>
      </c>
      <c r="O327" s="151">
        <v>3769585655</v>
      </c>
      <c r="P327" s="151">
        <v>3017006795</v>
      </c>
      <c r="Q327" s="151">
        <v>2344616855</v>
      </c>
      <c r="R327" s="151">
        <v>5429927882</v>
      </c>
      <c r="S327" s="151">
        <v>6028557187</v>
      </c>
      <c r="T327" s="151">
        <v>2401378825</v>
      </c>
      <c r="U327" s="151">
        <v>2202388266</v>
      </c>
      <c r="V327" s="151">
        <v>9097918908</v>
      </c>
      <c r="W327" s="151">
        <v>3174782183</v>
      </c>
      <c r="X327" s="151">
        <v>9610455365</v>
      </c>
      <c r="Y327" s="151">
        <v>1767275730</v>
      </c>
      <c r="Z327" s="151">
        <v>1470117780</v>
      </c>
      <c r="AA327" s="151">
        <v>763503294</v>
      </c>
      <c r="AB327" s="151">
        <v>2384866564</v>
      </c>
      <c r="AC327" s="151">
        <v>3387628879</v>
      </c>
      <c r="AD327" s="151">
        <v>894616810</v>
      </c>
      <c r="AE327" s="151">
        <v>971023235</v>
      </c>
      <c r="AF327" s="151"/>
      <c r="AG327" s="151"/>
      <c r="AH327" s="151"/>
      <c r="AI327" s="151"/>
    </row>
    <row r="328" spans="2:35" x14ac:dyDescent="0.35">
      <c r="B328" s="9">
        <v>7</v>
      </c>
      <c r="C328" s="122" t="str">
        <f>'Option inputs'!$C$21</f>
        <v>Option 3A</v>
      </c>
      <c r="D328" s="119"/>
      <c r="E328" s="68" t="s">
        <v>35</v>
      </c>
      <c r="F328" s="130"/>
      <c r="G328" s="130">
        <v>853303813</v>
      </c>
      <c r="H328" s="130">
        <v>838638739</v>
      </c>
      <c r="I328" s="130">
        <v>837286760</v>
      </c>
      <c r="J328" s="130">
        <v>1275285750</v>
      </c>
      <c r="K328" s="130">
        <v>1624845946</v>
      </c>
      <c r="L328" s="130">
        <v>2119043226</v>
      </c>
      <c r="M328" s="130">
        <v>1917909505</v>
      </c>
      <c r="N328" s="130">
        <v>2022195917</v>
      </c>
      <c r="O328" s="130">
        <v>3759919191</v>
      </c>
      <c r="P328" s="130">
        <v>3510593245</v>
      </c>
      <c r="Q328" s="130">
        <v>1805182470</v>
      </c>
      <c r="R328" s="130">
        <v>6383959354</v>
      </c>
      <c r="S328" s="130">
        <v>5678269782</v>
      </c>
      <c r="T328" s="130">
        <v>2334601905</v>
      </c>
      <c r="U328" s="130">
        <v>2351319919</v>
      </c>
      <c r="V328" s="130">
        <v>8634716215</v>
      </c>
      <c r="W328" s="130">
        <v>3179648840</v>
      </c>
      <c r="X328" s="130">
        <v>9387678635</v>
      </c>
      <c r="Y328" s="130">
        <v>1681441336</v>
      </c>
      <c r="Z328" s="130">
        <v>1401292757</v>
      </c>
      <c r="AA328" s="130">
        <v>776709708</v>
      </c>
      <c r="AB328" s="130">
        <v>2352713149</v>
      </c>
      <c r="AC328" s="130">
        <v>3372016079</v>
      </c>
      <c r="AD328" s="130">
        <v>916192418</v>
      </c>
      <c r="AE328" s="56">
        <v>981227682</v>
      </c>
      <c r="AF328" s="56"/>
      <c r="AG328" s="56"/>
      <c r="AH328" s="56"/>
      <c r="AI328" s="56"/>
    </row>
    <row r="329" spans="2:35" x14ac:dyDescent="0.35">
      <c r="B329" s="64">
        <f>+'Option inputs'!$B$22</f>
        <v>8</v>
      </c>
      <c r="C329" s="122" t="str">
        <f>'Option inputs'!$C$22</f>
        <v>Option 3B</v>
      </c>
      <c r="D329" s="119"/>
      <c r="E329" s="68" t="s">
        <v>35</v>
      </c>
      <c r="F329" s="130"/>
      <c r="G329" s="130">
        <v>853289815</v>
      </c>
      <c r="H329" s="130">
        <v>838635190</v>
      </c>
      <c r="I329" s="130">
        <v>837285209</v>
      </c>
      <c r="J329" s="130">
        <v>1266003495</v>
      </c>
      <c r="K329" s="130">
        <v>1624194880</v>
      </c>
      <c r="L329" s="130">
        <v>2118497924</v>
      </c>
      <c r="M329" s="130">
        <v>1917302067</v>
      </c>
      <c r="N329" s="130">
        <v>2024377119</v>
      </c>
      <c r="O329" s="130">
        <v>3759772246</v>
      </c>
      <c r="P329" s="130">
        <v>2771185666</v>
      </c>
      <c r="Q329" s="130">
        <v>2301229554</v>
      </c>
      <c r="R329" s="130">
        <v>5486301211</v>
      </c>
      <c r="S329" s="130">
        <v>5977203826</v>
      </c>
      <c r="T329" s="130">
        <v>2426103274</v>
      </c>
      <c r="U329" s="130">
        <v>2226095551</v>
      </c>
      <c r="V329" s="130">
        <v>9040653114</v>
      </c>
      <c r="W329" s="130">
        <v>3195008267</v>
      </c>
      <c r="X329" s="130">
        <v>9621262783</v>
      </c>
      <c r="Y329" s="130">
        <v>1758839410</v>
      </c>
      <c r="Z329" s="130">
        <v>1475303834</v>
      </c>
      <c r="AA329" s="130">
        <v>763778642</v>
      </c>
      <c r="AB329" s="130">
        <v>2374488019</v>
      </c>
      <c r="AC329" s="130">
        <v>3385990759</v>
      </c>
      <c r="AD329" s="130">
        <v>897829090</v>
      </c>
      <c r="AE329" s="56">
        <v>973441197</v>
      </c>
      <c r="AF329" s="56"/>
      <c r="AG329" s="56"/>
      <c r="AH329" s="56"/>
      <c r="AI329" s="56"/>
    </row>
    <row r="330" spans="2:35" x14ac:dyDescent="0.35">
      <c r="B330" s="64">
        <f>+'Option inputs'!$B$23</f>
        <v>9</v>
      </c>
      <c r="C330" s="122" t="str">
        <f>'Option inputs'!$C$23</f>
        <v>Option 3C</v>
      </c>
      <c r="D330" s="119"/>
      <c r="E330" s="68" t="s">
        <v>35</v>
      </c>
      <c r="F330" s="130"/>
      <c r="G330" s="130">
        <v>853335694</v>
      </c>
      <c r="H330" s="130">
        <v>838642885</v>
      </c>
      <c r="I330" s="130">
        <v>837303856</v>
      </c>
      <c r="J330" s="130">
        <v>947681771</v>
      </c>
      <c r="K330" s="130">
        <v>1626706688</v>
      </c>
      <c r="L330" s="130">
        <v>2120581414</v>
      </c>
      <c r="M330" s="130">
        <v>1913284992</v>
      </c>
      <c r="N330" s="130">
        <v>2022074200</v>
      </c>
      <c r="O330" s="130">
        <v>3770276496</v>
      </c>
      <c r="P330" s="130">
        <v>3001096019</v>
      </c>
      <c r="Q330" s="130">
        <v>2300975508</v>
      </c>
      <c r="R330" s="130">
        <v>5486288661</v>
      </c>
      <c r="S330" s="130">
        <v>5976989614</v>
      </c>
      <c r="T330" s="130">
        <v>2426290434</v>
      </c>
      <c r="U330" s="130">
        <v>2226484868</v>
      </c>
      <c r="V330" s="130">
        <v>9040752105</v>
      </c>
      <c r="W330" s="130">
        <v>3194783298</v>
      </c>
      <c r="X330" s="130">
        <v>9621338003</v>
      </c>
      <c r="Y330" s="130">
        <v>1758713967</v>
      </c>
      <c r="Z330" s="130">
        <v>1475338904</v>
      </c>
      <c r="AA330" s="130">
        <v>763781676</v>
      </c>
      <c r="AB330" s="130">
        <v>2374477294</v>
      </c>
      <c r="AC330" s="130">
        <v>3385954520</v>
      </c>
      <c r="AD330" s="130">
        <v>897843512</v>
      </c>
      <c r="AE330" s="56">
        <v>973462237</v>
      </c>
      <c r="AF330" s="56"/>
      <c r="AG330" s="56"/>
      <c r="AH330" s="56"/>
      <c r="AI330" s="56"/>
    </row>
    <row r="331" spans="2:35" x14ac:dyDescent="0.35">
      <c r="B331" s="64">
        <f>+'Option inputs'!$B$24</f>
        <v>10</v>
      </c>
      <c r="C331" s="122" t="str">
        <f>'Option inputs'!$C$24</f>
        <v>Option 4A</v>
      </c>
      <c r="D331" s="119"/>
      <c r="E331" s="68" t="s">
        <v>35</v>
      </c>
      <c r="F331" s="130"/>
      <c r="G331" s="130">
        <v>853303364</v>
      </c>
      <c r="H331" s="130">
        <v>838637916</v>
      </c>
      <c r="I331" s="130">
        <v>837288625</v>
      </c>
      <c r="J331" s="130">
        <v>1275283436</v>
      </c>
      <c r="K331" s="130">
        <v>1624841319</v>
      </c>
      <c r="L331" s="130">
        <v>2118635630</v>
      </c>
      <c r="M331" s="130">
        <v>1917534062</v>
      </c>
      <c r="N331" s="130">
        <v>2022297796</v>
      </c>
      <c r="O331" s="130">
        <v>3759806858</v>
      </c>
      <c r="P331" s="130">
        <v>3401858668</v>
      </c>
      <c r="Q331" s="130">
        <v>1910402755</v>
      </c>
      <c r="R331" s="130">
        <v>6306783229</v>
      </c>
      <c r="S331" s="130">
        <v>5653287444</v>
      </c>
      <c r="T331" s="130">
        <v>2327283786</v>
      </c>
      <c r="U331" s="130">
        <v>2406390516</v>
      </c>
      <c r="V331" s="130">
        <v>8583039849</v>
      </c>
      <c r="W331" s="130">
        <v>3186147802</v>
      </c>
      <c r="X331" s="130">
        <v>9530274985</v>
      </c>
      <c r="Y331" s="130">
        <v>1711257667</v>
      </c>
      <c r="Z331" s="130">
        <v>1371180358</v>
      </c>
      <c r="AA331" s="130">
        <v>773143978</v>
      </c>
      <c r="AB331" s="130">
        <v>2355557610</v>
      </c>
      <c r="AC331" s="130">
        <v>3370260019</v>
      </c>
      <c r="AD331" s="130">
        <v>908423158</v>
      </c>
      <c r="AE331" s="56">
        <v>974289296</v>
      </c>
      <c r="AF331" s="56"/>
      <c r="AG331" s="56"/>
      <c r="AH331" s="56"/>
      <c r="AI331" s="56"/>
    </row>
    <row r="332" spans="2:35" x14ac:dyDescent="0.35">
      <c r="B332" s="64">
        <f>+'Option inputs'!$B$25</f>
        <v>11</v>
      </c>
      <c r="C332" s="122" t="str">
        <f>'Option inputs'!$C$25</f>
        <v>Option 4B</v>
      </c>
      <c r="D332" s="119"/>
      <c r="E332" s="68" t="s">
        <v>35</v>
      </c>
      <c r="F332" s="130"/>
      <c r="G332" s="130">
        <v>853304552</v>
      </c>
      <c r="H332" s="130">
        <v>838637718</v>
      </c>
      <c r="I332" s="130">
        <v>837287108</v>
      </c>
      <c r="J332" s="130">
        <v>1194081679</v>
      </c>
      <c r="K332" s="130">
        <v>1624872197</v>
      </c>
      <c r="L332" s="130">
        <v>2118615117</v>
      </c>
      <c r="M332" s="130">
        <v>1917243648</v>
      </c>
      <c r="N332" s="130">
        <v>2023717982</v>
      </c>
      <c r="O332" s="130">
        <v>3762034693</v>
      </c>
      <c r="P332" s="130">
        <v>2685946146</v>
      </c>
      <c r="Q332" s="130">
        <v>2540103332</v>
      </c>
      <c r="R332" s="130">
        <v>4964993342</v>
      </c>
      <c r="S332" s="130">
        <v>6056692284</v>
      </c>
      <c r="T332" s="130">
        <v>2351190526</v>
      </c>
      <c r="U332" s="130">
        <v>2037924828</v>
      </c>
      <c r="V332" s="130">
        <v>9497223397</v>
      </c>
      <c r="W332" s="130">
        <v>3134150133</v>
      </c>
      <c r="X332" s="130">
        <v>9521841992</v>
      </c>
      <c r="Y332" s="130">
        <v>1786907201</v>
      </c>
      <c r="Z332" s="130">
        <v>1499949255</v>
      </c>
      <c r="AA332" s="130">
        <v>807422195</v>
      </c>
      <c r="AB332" s="130">
        <v>2389397262</v>
      </c>
      <c r="AC332" s="130">
        <v>3379531574</v>
      </c>
      <c r="AD332" s="130">
        <v>898285723</v>
      </c>
      <c r="AE332" s="56">
        <v>973080512</v>
      </c>
      <c r="AF332" s="56"/>
      <c r="AG332" s="56"/>
      <c r="AH332" s="56"/>
      <c r="AI332" s="56"/>
    </row>
    <row r="333" spans="2:35" x14ac:dyDescent="0.35">
      <c r="B333" s="64">
        <f>+'Option inputs'!$B$26</f>
        <v>12</v>
      </c>
      <c r="C333" s="122" t="str">
        <f>'Option inputs'!$C$26</f>
        <v>Option 4C</v>
      </c>
      <c r="D333" s="119"/>
      <c r="E333" s="68" t="s">
        <v>35</v>
      </c>
      <c r="F333" s="130"/>
      <c r="G333" s="130">
        <v>853248867</v>
      </c>
      <c r="H333" s="130">
        <v>838628141</v>
      </c>
      <c r="I333" s="130">
        <v>837273031</v>
      </c>
      <c r="J333" s="130">
        <v>947651737</v>
      </c>
      <c r="K333" s="130">
        <v>1626685061</v>
      </c>
      <c r="L333" s="130">
        <v>2120073068</v>
      </c>
      <c r="M333" s="130">
        <v>1913478101</v>
      </c>
      <c r="N333" s="130">
        <v>2022016568</v>
      </c>
      <c r="O333" s="130">
        <v>3770587596</v>
      </c>
      <c r="P333" s="130">
        <v>2695715896</v>
      </c>
      <c r="Q333" s="130">
        <v>2701172552</v>
      </c>
      <c r="R333" s="130">
        <v>4962694890</v>
      </c>
      <c r="S333" s="130">
        <v>6056817411</v>
      </c>
      <c r="T333" s="130">
        <v>2351247517</v>
      </c>
      <c r="U333" s="130">
        <v>2037343870</v>
      </c>
      <c r="V333" s="130">
        <v>9497661034</v>
      </c>
      <c r="W333" s="130">
        <v>3134403174</v>
      </c>
      <c r="X333" s="130">
        <v>9524231365</v>
      </c>
      <c r="Y333" s="130">
        <v>1783522405</v>
      </c>
      <c r="Z333" s="130">
        <v>1502290101</v>
      </c>
      <c r="AA333" s="130">
        <v>807022927</v>
      </c>
      <c r="AB333" s="130">
        <v>2388662063</v>
      </c>
      <c r="AC333" s="130">
        <v>3379479091</v>
      </c>
      <c r="AD333" s="130">
        <v>898239397</v>
      </c>
      <c r="AE333" s="56">
        <v>973031517</v>
      </c>
      <c r="AF333" s="56"/>
      <c r="AG333" s="56"/>
      <c r="AH333" s="56"/>
      <c r="AI333" s="56"/>
    </row>
    <row r="334" spans="2:35" x14ac:dyDescent="0.35">
      <c r="D334" s="70"/>
      <c r="E334" s="66"/>
      <c r="AF334" s="46"/>
      <c r="AG334" s="46"/>
      <c r="AH334" s="46"/>
      <c r="AI334" s="46"/>
    </row>
    <row r="335" spans="2:35" x14ac:dyDescent="0.35">
      <c r="B335" s="59" t="s">
        <v>14</v>
      </c>
      <c r="C335" s="59" t="s">
        <v>13</v>
      </c>
      <c r="D335" s="80" t="str">
        <f>'Interface and charts'!$J$6</f>
        <v>Step change</v>
      </c>
      <c r="E335" s="63" t="s">
        <v>7</v>
      </c>
      <c r="F335" s="171" t="str">
        <f>Calculation!G$56</f>
        <v>FY 2019-20</v>
      </c>
      <c r="G335" s="171" t="str">
        <f>Calculation!H$56</f>
        <v>FY 2020-21</v>
      </c>
      <c r="H335" s="171" t="str">
        <f>Calculation!I$56</f>
        <v>FY 2021-22</v>
      </c>
      <c r="I335" s="171" t="str">
        <f>Calculation!J$56</f>
        <v>FY 2022-23</v>
      </c>
      <c r="J335" s="171" t="str">
        <f>Calculation!K$56</f>
        <v>FY 2023-24</v>
      </c>
      <c r="K335" s="171" t="str">
        <f>Calculation!L$56</f>
        <v>FY 2024-25</v>
      </c>
      <c r="L335" s="171" t="str">
        <f>Calculation!M$56</f>
        <v>FY 2025-26</v>
      </c>
      <c r="M335" s="171" t="str">
        <f>Calculation!N$56</f>
        <v>FY 2026-27</v>
      </c>
      <c r="N335" s="171" t="str">
        <f>Calculation!O$56</f>
        <v>FY 2027-28</v>
      </c>
      <c r="O335" s="171" t="str">
        <f>Calculation!P$56</f>
        <v>FY 2028-29</v>
      </c>
      <c r="P335" s="171" t="str">
        <f>Calculation!Q$56</f>
        <v>FY 2029-30</v>
      </c>
      <c r="Q335" s="171" t="str">
        <f>Calculation!R$56</f>
        <v>FY 2030-31</v>
      </c>
      <c r="R335" s="171" t="str">
        <f>Calculation!S$56</f>
        <v>FY 2031-32</v>
      </c>
      <c r="S335" s="171" t="str">
        <f>Calculation!T$56</f>
        <v>FY 2032-33</v>
      </c>
      <c r="T335" s="171" t="str">
        <f>Calculation!U$56</f>
        <v>FY 2033-34</v>
      </c>
      <c r="U335" s="171" t="str">
        <f>Calculation!V$56</f>
        <v>FY 2034-35</v>
      </c>
      <c r="V335" s="171" t="str">
        <f>Calculation!W$56</f>
        <v>FY 2035-36</v>
      </c>
      <c r="W335" s="171" t="str">
        <f>Calculation!X$56</f>
        <v>FY 2036-37</v>
      </c>
      <c r="X335" s="171" t="str">
        <f>Calculation!Y$56</f>
        <v>FY 2037-38</v>
      </c>
      <c r="Y335" s="171" t="str">
        <f>Calculation!Z$56</f>
        <v>FY 2038-39</v>
      </c>
      <c r="Z335" s="171" t="str">
        <f>Calculation!AA$56</f>
        <v>FY 2039-40</v>
      </c>
      <c r="AA335" s="171" t="str">
        <f>Calculation!AB$56</f>
        <v>FY 2040-41</v>
      </c>
      <c r="AB335" s="171" t="str">
        <f>Calculation!AC$56</f>
        <v>FY 2041-42</v>
      </c>
      <c r="AC335" s="171" t="str">
        <f>Calculation!AD$56</f>
        <v>FY 2042-43</v>
      </c>
      <c r="AD335" s="171" t="str">
        <f>Calculation!AE$56</f>
        <v>FY 2043-44</v>
      </c>
      <c r="AE335" s="171" t="str">
        <f>Calculation!AF$56</f>
        <v>FY 2044-45</v>
      </c>
      <c r="AF335" s="171" t="str">
        <f>Calculation!AG$56</f>
        <v>FY 2045-46</v>
      </c>
      <c r="AG335" s="171" t="str">
        <f>Calculation!AH$56</f>
        <v>FY 2046-47</v>
      </c>
      <c r="AH335" s="171" t="str">
        <f>Calculation!AI$56</f>
        <v>FY 2047-48</v>
      </c>
      <c r="AI335" s="171" t="str">
        <f>Calculation!AJ$56</f>
        <v>FY 2048-49</v>
      </c>
    </row>
    <row r="336" spans="2:35" x14ac:dyDescent="0.35">
      <c r="B336" s="9">
        <v>0</v>
      </c>
      <c r="C336" s="123" t="str">
        <f>'Option inputs'!$C$14</f>
        <v>Base case</v>
      </c>
      <c r="D336" s="62"/>
      <c r="E336" s="68" t="s">
        <v>35</v>
      </c>
      <c r="F336" s="151"/>
      <c r="G336" s="151">
        <v>860878412</v>
      </c>
      <c r="H336" s="151">
        <v>839343930</v>
      </c>
      <c r="I336" s="151">
        <v>830313351</v>
      </c>
      <c r="J336" s="151">
        <v>1817914432</v>
      </c>
      <c r="K336" s="151">
        <v>3084458572</v>
      </c>
      <c r="L336" s="151">
        <v>1674436751</v>
      </c>
      <c r="M336" s="151">
        <v>4158427944</v>
      </c>
      <c r="N336" s="151">
        <v>2650545881</v>
      </c>
      <c r="O336" s="151">
        <v>7192350205</v>
      </c>
      <c r="P336" s="151">
        <v>5549276778</v>
      </c>
      <c r="Q336" s="151">
        <v>5357607403</v>
      </c>
      <c r="R336" s="151">
        <v>1667145610</v>
      </c>
      <c r="S336" s="151">
        <v>7195249140</v>
      </c>
      <c r="T336" s="151">
        <v>4995797151</v>
      </c>
      <c r="U336" s="151">
        <v>1349511898</v>
      </c>
      <c r="V336" s="151">
        <v>1802684214</v>
      </c>
      <c r="W336" s="151">
        <v>1488940080</v>
      </c>
      <c r="X336" s="151">
        <v>9599382166</v>
      </c>
      <c r="Y336" s="151">
        <v>2013046336</v>
      </c>
      <c r="Z336" s="151">
        <v>1785880981</v>
      </c>
      <c r="AA336" s="151">
        <v>1114971211</v>
      </c>
      <c r="AB336" s="151">
        <v>4959356809</v>
      </c>
      <c r="AC336" s="151">
        <v>2056861387</v>
      </c>
      <c r="AD336" s="151">
        <v>841532429</v>
      </c>
      <c r="AE336" s="151">
        <v>896481226</v>
      </c>
      <c r="AF336" s="151"/>
      <c r="AG336" s="151"/>
      <c r="AH336" s="151"/>
      <c r="AI336" s="151"/>
    </row>
    <row r="337" spans="2:63" x14ac:dyDescent="0.35">
      <c r="B337" s="9">
        <v>1</v>
      </c>
      <c r="C337" s="122" t="str">
        <f>'Option inputs'!$C$15</f>
        <v>Option 1A</v>
      </c>
      <c r="D337" s="62"/>
      <c r="E337" s="68" t="s">
        <v>35</v>
      </c>
      <c r="F337" s="151"/>
      <c r="G337" s="151">
        <v>860811115</v>
      </c>
      <c r="H337" s="151">
        <v>839339999</v>
      </c>
      <c r="I337" s="151">
        <v>830287512</v>
      </c>
      <c r="J337" s="151">
        <v>1817934837</v>
      </c>
      <c r="K337" s="151">
        <v>2757631273</v>
      </c>
      <c r="L337" s="151">
        <v>1679202600</v>
      </c>
      <c r="M337" s="151">
        <v>3118677181</v>
      </c>
      <c r="N337" s="151">
        <v>2647960229</v>
      </c>
      <c r="O337" s="151">
        <v>7281303416</v>
      </c>
      <c r="P337" s="151">
        <v>5611837457</v>
      </c>
      <c r="Q337" s="151">
        <v>5230546125</v>
      </c>
      <c r="R337" s="151">
        <v>1795088216</v>
      </c>
      <c r="S337" s="151">
        <v>7105070235</v>
      </c>
      <c r="T337" s="151">
        <v>4972178028</v>
      </c>
      <c r="U337" s="151">
        <v>1516741475</v>
      </c>
      <c r="V337" s="151">
        <v>1834661274</v>
      </c>
      <c r="W337" s="151">
        <v>1529822134</v>
      </c>
      <c r="X337" s="151">
        <v>9729938580</v>
      </c>
      <c r="Y337" s="151">
        <v>1894777157</v>
      </c>
      <c r="Z337" s="151">
        <v>1807030236</v>
      </c>
      <c r="AA337" s="151">
        <v>1070441298</v>
      </c>
      <c r="AB337" s="151">
        <v>4927626825</v>
      </c>
      <c r="AC337" s="151">
        <v>2082692623</v>
      </c>
      <c r="AD337" s="151">
        <v>880889136</v>
      </c>
      <c r="AE337" s="151">
        <v>909498511</v>
      </c>
      <c r="AF337" s="151"/>
      <c r="AG337" s="151"/>
      <c r="AH337" s="151"/>
      <c r="AI337" s="151"/>
    </row>
    <row r="338" spans="2:63" x14ac:dyDescent="0.35">
      <c r="B338" s="9">
        <v>2</v>
      </c>
      <c r="C338" s="122" t="str">
        <f>'Option inputs'!$C$16</f>
        <v>Option 1B</v>
      </c>
      <c r="D338" s="62"/>
      <c r="E338" s="68" t="s">
        <v>35</v>
      </c>
      <c r="F338" s="151"/>
      <c r="G338" s="151">
        <v>860829611</v>
      </c>
      <c r="H338" s="151">
        <v>839340717</v>
      </c>
      <c r="I338" s="151">
        <v>830299926</v>
      </c>
      <c r="J338" s="151">
        <v>1817975234</v>
      </c>
      <c r="K338" s="151">
        <v>2605203376</v>
      </c>
      <c r="L338" s="151">
        <v>1730952864</v>
      </c>
      <c r="M338" s="151">
        <v>2639563145</v>
      </c>
      <c r="N338" s="151">
        <v>2901913895</v>
      </c>
      <c r="O338" s="151">
        <v>7157822187</v>
      </c>
      <c r="P338" s="151">
        <v>5790718491</v>
      </c>
      <c r="Q338" s="151">
        <v>4926056890</v>
      </c>
      <c r="R338" s="151">
        <v>1862741554</v>
      </c>
      <c r="S338" s="151">
        <v>7020581222</v>
      </c>
      <c r="T338" s="151">
        <v>5076835620</v>
      </c>
      <c r="U338" s="151">
        <v>1381527112</v>
      </c>
      <c r="V338" s="151">
        <v>1925491755</v>
      </c>
      <c r="W338" s="151">
        <v>1467130382</v>
      </c>
      <c r="X338" s="151">
        <v>9973246320</v>
      </c>
      <c r="Y338" s="151">
        <v>1810268872</v>
      </c>
      <c r="Z338" s="151">
        <v>2214744712</v>
      </c>
      <c r="AA338" s="151">
        <v>886910477</v>
      </c>
      <c r="AB338" s="151">
        <v>4812972366</v>
      </c>
      <c r="AC338" s="151">
        <v>2143286247</v>
      </c>
      <c r="AD338" s="151">
        <v>895913030</v>
      </c>
      <c r="AE338" s="151">
        <v>911479856</v>
      </c>
      <c r="AF338" s="151"/>
      <c r="AG338" s="151"/>
      <c r="AH338" s="151"/>
      <c r="AI338" s="151"/>
    </row>
    <row r="339" spans="2:63" x14ac:dyDescent="0.35">
      <c r="B339" s="9">
        <v>3</v>
      </c>
      <c r="C339" s="122" t="str">
        <f>'Option inputs'!$C$17</f>
        <v>Option 1C</v>
      </c>
      <c r="D339" s="62"/>
      <c r="E339" s="68" t="s">
        <v>35</v>
      </c>
      <c r="F339" s="151"/>
      <c r="G339" s="151">
        <v>860823236</v>
      </c>
      <c r="H339" s="151">
        <v>839340340</v>
      </c>
      <c r="I339" s="151">
        <v>830295596</v>
      </c>
      <c r="J339" s="151">
        <v>1817956394</v>
      </c>
      <c r="K339" s="151">
        <v>2554967236</v>
      </c>
      <c r="L339" s="151">
        <v>1808498514</v>
      </c>
      <c r="M339" s="151">
        <v>2583854360</v>
      </c>
      <c r="N339" s="151">
        <v>2939767966</v>
      </c>
      <c r="O339" s="151">
        <v>7144975459</v>
      </c>
      <c r="P339" s="151">
        <v>5806017789</v>
      </c>
      <c r="Q339" s="151">
        <v>4932595033</v>
      </c>
      <c r="R339" s="151">
        <v>1863141251</v>
      </c>
      <c r="S339" s="151">
        <v>7021527516</v>
      </c>
      <c r="T339" s="151">
        <v>5076930463</v>
      </c>
      <c r="U339" s="151">
        <v>1381042618</v>
      </c>
      <c r="V339" s="151">
        <v>1925614072</v>
      </c>
      <c r="W339" s="151">
        <v>1467181501</v>
      </c>
      <c r="X339" s="151">
        <v>9973435905</v>
      </c>
      <c r="Y339" s="151">
        <v>1810290506</v>
      </c>
      <c r="Z339" s="151">
        <v>2214735268</v>
      </c>
      <c r="AA339" s="151">
        <v>886906698</v>
      </c>
      <c r="AB339" s="151">
        <v>4812973860</v>
      </c>
      <c r="AC339" s="151">
        <v>2143288715</v>
      </c>
      <c r="AD339" s="151">
        <v>895902889</v>
      </c>
      <c r="AE339" s="151">
        <v>911479120</v>
      </c>
      <c r="AF339" s="151"/>
      <c r="AG339" s="151"/>
      <c r="AH339" s="151"/>
      <c r="AI339" s="151"/>
    </row>
    <row r="340" spans="2:63" x14ac:dyDescent="0.35">
      <c r="B340" s="9">
        <v>4</v>
      </c>
      <c r="C340" s="122" t="str">
        <f>'Option inputs'!$C$18</f>
        <v>Option 2A</v>
      </c>
      <c r="D340" s="62"/>
      <c r="E340" s="68" t="s">
        <v>35</v>
      </c>
      <c r="F340" s="151"/>
      <c r="G340" s="151">
        <v>860813110</v>
      </c>
      <c r="H340" s="151">
        <v>839340064</v>
      </c>
      <c r="I340" s="151">
        <v>830288792</v>
      </c>
      <c r="J340" s="151">
        <v>1818606867</v>
      </c>
      <c r="K340" s="151">
        <v>2521578137</v>
      </c>
      <c r="L340" s="151">
        <v>1785431336</v>
      </c>
      <c r="M340" s="151">
        <v>3025581879</v>
      </c>
      <c r="N340" s="151">
        <v>2795952746</v>
      </c>
      <c r="O340" s="151">
        <v>7122286503</v>
      </c>
      <c r="P340" s="151">
        <v>5593532482</v>
      </c>
      <c r="Q340" s="151">
        <v>5354096719</v>
      </c>
      <c r="R340" s="151">
        <v>1646318408</v>
      </c>
      <c r="S340" s="151">
        <v>7466640577</v>
      </c>
      <c r="T340" s="151">
        <v>4875727153</v>
      </c>
      <c r="U340" s="151">
        <v>1290839208</v>
      </c>
      <c r="V340" s="151">
        <v>1965317315</v>
      </c>
      <c r="W340" s="151">
        <v>1833899855</v>
      </c>
      <c r="X340" s="151">
        <v>10697708653</v>
      </c>
      <c r="Y340" s="151">
        <v>1628357224</v>
      </c>
      <c r="Z340" s="151">
        <v>1525573761</v>
      </c>
      <c r="AA340" s="151">
        <v>1074128431</v>
      </c>
      <c r="AB340" s="151">
        <v>4596679494</v>
      </c>
      <c r="AC340" s="151">
        <v>2217843158</v>
      </c>
      <c r="AD340" s="151">
        <v>954632986</v>
      </c>
      <c r="AE340" s="151">
        <v>917576826</v>
      </c>
      <c r="AF340" s="151"/>
      <c r="AG340" s="151"/>
      <c r="AH340" s="151"/>
      <c r="AI340" s="151"/>
    </row>
    <row r="341" spans="2:63" x14ac:dyDescent="0.35">
      <c r="B341" s="9">
        <v>5</v>
      </c>
      <c r="C341" s="122" t="str">
        <f>'Option inputs'!$C$19</f>
        <v>Option 2B</v>
      </c>
      <c r="D341" s="62"/>
      <c r="E341" s="68" t="s">
        <v>35</v>
      </c>
      <c r="F341" s="151"/>
      <c r="G341" s="151">
        <v>860909846</v>
      </c>
      <c r="H341" s="151">
        <v>839345611</v>
      </c>
      <c r="I341" s="151">
        <v>830326938</v>
      </c>
      <c r="J341" s="151">
        <v>1818648410</v>
      </c>
      <c r="K341" s="151">
        <v>2493570998</v>
      </c>
      <c r="L341" s="151">
        <v>1795636244</v>
      </c>
      <c r="M341" s="151">
        <v>2607125447</v>
      </c>
      <c r="N341" s="151">
        <v>2898637337</v>
      </c>
      <c r="O341" s="151">
        <v>7110958109</v>
      </c>
      <c r="P341" s="151">
        <v>5740227687</v>
      </c>
      <c r="Q341" s="151">
        <v>4934672512</v>
      </c>
      <c r="R341" s="151">
        <v>1733232023</v>
      </c>
      <c r="S341" s="151">
        <v>7317619343</v>
      </c>
      <c r="T341" s="151">
        <v>4962246265</v>
      </c>
      <c r="U341" s="151">
        <v>1330064278</v>
      </c>
      <c r="V341" s="151">
        <v>1897845356</v>
      </c>
      <c r="W341" s="151">
        <v>1837254088</v>
      </c>
      <c r="X341" s="151">
        <v>10785411860</v>
      </c>
      <c r="Y341" s="151">
        <v>1765531201</v>
      </c>
      <c r="Z341" s="151">
        <v>1927930700</v>
      </c>
      <c r="AA341" s="151">
        <v>804626585</v>
      </c>
      <c r="AB341" s="151">
        <v>4403098502</v>
      </c>
      <c r="AC341" s="151">
        <v>2206481352</v>
      </c>
      <c r="AD341" s="151">
        <v>1066842583</v>
      </c>
      <c r="AE341" s="151">
        <v>931927964</v>
      </c>
      <c r="AF341" s="151"/>
      <c r="AG341" s="151"/>
      <c r="AH341" s="151"/>
      <c r="AI341" s="151"/>
    </row>
    <row r="342" spans="2:63" x14ac:dyDescent="0.35">
      <c r="B342" s="9">
        <v>6</v>
      </c>
      <c r="C342" s="122" t="str">
        <f>'Option inputs'!$C$20</f>
        <v>Option 2C</v>
      </c>
      <c r="D342" s="62"/>
      <c r="E342" s="68" t="s">
        <v>35</v>
      </c>
      <c r="F342" s="151"/>
      <c r="G342" s="151">
        <v>860944430</v>
      </c>
      <c r="H342" s="151">
        <v>839344285</v>
      </c>
      <c r="I342" s="151">
        <v>830356524</v>
      </c>
      <c r="J342" s="151">
        <v>1819447575</v>
      </c>
      <c r="K342" s="151">
        <v>2381738341</v>
      </c>
      <c r="L342" s="151">
        <v>1884429547</v>
      </c>
      <c r="M342" s="151">
        <v>2629202718</v>
      </c>
      <c r="N342" s="151">
        <v>2888980978</v>
      </c>
      <c r="O342" s="151">
        <v>7116802820</v>
      </c>
      <c r="P342" s="151">
        <v>5724876935</v>
      </c>
      <c r="Q342" s="151">
        <v>4934493373</v>
      </c>
      <c r="R342" s="151">
        <v>1733178900</v>
      </c>
      <c r="S342" s="151">
        <v>7318113482</v>
      </c>
      <c r="T342" s="151">
        <v>4962015340</v>
      </c>
      <c r="U342" s="151">
        <v>1330150927</v>
      </c>
      <c r="V342" s="151">
        <v>1897394855</v>
      </c>
      <c r="W342" s="151">
        <v>1837161740</v>
      </c>
      <c r="X342" s="151">
        <v>10785730907</v>
      </c>
      <c r="Y342" s="151">
        <v>1765567985</v>
      </c>
      <c r="Z342" s="151">
        <v>1927916038</v>
      </c>
      <c r="AA342" s="151">
        <v>804767336</v>
      </c>
      <c r="AB342" s="151">
        <v>4402924377</v>
      </c>
      <c r="AC342" s="151">
        <v>2206520487</v>
      </c>
      <c r="AD342" s="151">
        <v>1066872800</v>
      </c>
      <c r="AE342" s="151">
        <v>931928656</v>
      </c>
      <c r="AF342" s="151"/>
      <c r="AG342" s="151"/>
      <c r="AH342" s="151"/>
      <c r="AI342" s="151"/>
    </row>
    <row r="343" spans="2:63" x14ac:dyDescent="0.35">
      <c r="B343" s="9">
        <v>7</v>
      </c>
      <c r="C343" s="122" t="str">
        <f>'Option inputs'!$C$21</f>
        <v>Option 3A</v>
      </c>
      <c r="D343" s="62"/>
      <c r="E343" s="68" t="s">
        <v>35</v>
      </c>
      <c r="F343" s="130"/>
      <c r="G343" s="130">
        <v>860827065</v>
      </c>
      <c r="H343" s="130">
        <v>839340502</v>
      </c>
      <c r="I343" s="130">
        <v>830298120</v>
      </c>
      <c r="J343" s="130">
        <v>1818719779</v>
      </c>
      <c r="K343" s="130">
        <v>2509871738</v>
      </c>
      <c r="L343" s="130">
        <v>1743903251</v>
      </c>
      <c r="M343" s="130">
        <v>3433493423</v>
      </c>
      <c r="N343" s="130">
        <v>2722708582</v>
      </c>
      <c r="O343" s="130">
        <v>7115365993</v>
      </c>
      <c r="P343" s="130">
        <v>5549174952</v>
      </c>
      <c r="Q343" s="130">
        <v>5203817897</v>
      </c>
      <c r="R343" s="130">
        <v>1758657796</v>
      </c>
      <c r="S343" s="130">
        <v>7367352998</v>
      </c>
      <c r="T343" s="130">
        <v>4864163690</v>
      </c>
      <c r="U343" s="130">
        <v>1439423548</v>
      </c>
      <c r="V343" s="130">
        <v>1813172596</v>
      </c>
      <c r="W343" s="130">
        <v>1838405352</v>
      </c>
      <c r="X343" s="130">
        <v>10365136776</v>
      </c>
      <c r="Y343" s="130">
        <v>1774701423</v>
      </c>
      <c r="Z343" s="130">
        <v>1561789295</v>
      </c>
      <c r="AA343" s="130">
        <v>1130214015</v>
      </c>
      <c r="AB343" s="130">
        <v>4642579162</v>
      </c>
      <c r="AC343" s="130">
        <v>2190482148</v>
      </c>
      <c r="AD343" s="130">
        <v>944896951</v>
      </c>
      <c r="AE343" s="56">
        <v>917032180</v>
      </c>
      <c r="AF343" s="56"/>
      <c r="AG343" s="56"/>
      <c r="AH343" s="56"/>
      <c r="AI343" s="56"/>
    </row>
    <row r="344" spans="2:63" x14ac:dyDescent="0.35">
      <c r="B344" s="64">
        <f>+'Option inputs'!$B$22</f>
        <v>8</v>
      </c>
      <c r="C344" s="122" t="str">
        <f>'Option inputs'!$C$22</f>
        <v>Option 3B</v>
      </c>
      <c r="D344" s="62"/>
      <c r="E344" s="68" t="s">
        <v>35</v>
      </c>
      <c r="F344" s="130"/>
      <c r="G344" s="130">
        <v>860855672</v>
      </c>
      <c r="H344" s="130">
        <v>839342501</v>
      </c>
      <c r="I344" s="130">
        <v>830304941</v>
      </c>
      <c r="J344" s="130">
        <v>1817969005</v>
      </c>
      <c r="K344" s="130">
        <v>2543470596</v>
      </c>
      <c r="L344" s="130">
        <v>1770296210</v>
      </c>
      <c r="M344" s="130">
        <v>2574541055</v>
      </c>
      <c r="N344" s="130">
        <v>2913462095</v>
      </c>
      <c r="O344" s="130">
        <v>7107021804</v>
      </c>
      <c r="P344" s="130">
        <v>5737109285</v>
      </c>
      <c r="Q344" s="130">
        <v>4940093571</v>
      </c>
      <c r="R344" s="130">
        <v>1744691104</v>
      </c>
      <c r="S344" s="130">
        <v>7297831204</v>
      </c>
      <c r="T344" s="130">
        <v>4962150569</v>
      </c>
      <c r="U344" s="130">
        <v>1335131376</v>
      </c>
      <c r="V344" s="130">
        <v>1876559562</v>
      </c>
      <c r="W344" s="130">
        <v>1851806508</v>
      </c>
      <c r="X344" s="130">
        <v>10807110796</v>
      </c>
      <c r="Y344" s="130">
        <v>1771304156</v>
      </c>
      <c r="Z344" s="130">
        <v>1923092856</v>
      </c>
      <c r="AA344" s="130">
        <v>809487319</v>
      </c>
      <c r="AB344" s="130">
        <v>4400451840</v>
      </c>
      <c r="AC344" s="130">
        <v>2203026633</v>
      </c>
      <c r="AD344" s="130">
        <v>1071124012</v>
      </c>
      <c r="AE344" s="56">
        <v>930959810</v>
      </c>
      <c r="AF344" s="56"/>
      <c r="AG344" s="56"/>
      <c r="AH344" s="56"/>
      <c r="AI344" s="56"/>
    </row>
    <row r="345" spans="2:63" x14ac:dyDescent="0.35">
      <c r="B345" s="64">
        <f>+'Option inputs'!$B$23</f>
        <v>9</v>
      </c>
      <c r="C345" s="122" t="str">
        <f>'Option inputs'!$C$23</f>
        <v>Option 3C</v>
      </c>
      <c r="D345" s="62"/>
      <c r="E345" s="68" t="s">
        <v>35</v>
      </c>
      <c r="F345" s="130"/>
      <c r="G345" s="130">
        <v>860900239</v>
      </c>
      <c r="H345" s="130">
        <v>839344639</v>
      </c>
      <c r="I345" s="130">
        <v>830323851</v>
      </c>
      <c r="J345" s="130">
        <v>1818912100</v>
      </c>
      <c r="K345" s="130">
        <v>2434463998</v>
      </c>
      <c r="L345" s="130">
        <v>1828566620</v>
      </c>
      <c r="M345" s="130">
        <v>2624695409</v>
      </c>
      <c r="N345" s="130">
        <v>2890113770</v>
      </c>
      <c r="O345" s="130">
        <v>7124330757</v>
      </c>
      <c r="P345" s="130">
        <v>5713403748</v>
      </c>
      <c r="Q345" s="130">
        <v>4939926726</v>
      </c>
      <c r="R345" s="130">
        <v>1745077660</v>
      </c>
      <c r="S345" s="130">
        <v>7297255475</v>
      </c>
      <c r="T345" s="130">
        <v>4962462328</v>
      </c>
      <c r="U345" s="130">
        <v>1334810551</v>
      </c>
      <c r="V345" s="130">
        <v>1877239376</v>
      </c>
      <c r="W345" s="130">
        <v>1851314619</v>
      </c>
      <c r="X345" s="130">
        <v>10807402838</v>
      </c>
      <c r="Y345" s="130">
        <v>1771227063</v>
      </c>
      <c r="Z345" s="130">
        <v>1923209197</v>
      </c>
      <c r="AA345" s="130">
        <v>809520606</v>
      </c>
      <c r="AB345" s="130">
        <v>4400238079</v>
      </c>
      <c r="AC345" s="130">
        <v>2203039817</v>
      </c>
      <c r="AD345" s="130">
        <v>1071093233</v>
      </c>
      <c r="AE345" s="56">
        <v>930980762</v>
      </c>
      <c r="AF345" s="56"/>
      <c r="AG345" s="56"/>
      <c r="AH345" s="56"/>
      <c r="AI345" s="56"/>
    </row>
    <row r="346" spans="2:63" x14ac:dyDescent="0.35">
      <c r="B346" s="64">
        <f>+'Option inputs'!$B$24</f>
        <v>10</v>
      </c>
      <c r="C346" s="122" t="str">
        <f>'Option inputs'!$C$24</f>
        <v>Option 4A</v>
      </c>
      <c r="D346" s="62"/>
      <c r="E346" s="68" t="s">
        <v>35</v>
      </c>
      <c r="F346" s="130"/>
      <c r="G346" s="130">
        <v>860809894</v>
      </c>
      <c r="H346" s="130">
        <v>839339965</v>
      </c>
      <c r="I346" s="130">
        <v>830286748</v>
      </c>
      <c r="J346" s="130">
        <v>1818594143</v>
      </c>
      <c r="K346" s="130">
        <v>2523784363</v>
      </c>
      <c r="L346" s="130">
        <v>1723815552</v>
      </c>
      <c r="M346" s="130">
        <v>3326951666</v>
      </c>
      <c r="N346" s="130">
        <v>2734134093</v>
      </c>
      <c r="O346" s="130">
        <v>7136104598</v>
      </c>
      <c r="P346" s="130">
        <v>5551951357</v>
      </c>
      <c r="Q346" s="130">
        <v>5194297999</v>
      </c>
      <c r="R346" s="130">
        <v>1735815102</v>
      </c>
      <c r="S346" s="130">
        <v>7365666534</v>
      </c>
      <c r="T346" s="130">
        <v>4838945815</v>
      </c>
      <c r="U346" s="130">
        <v>1467107576</v>
      </c>
      <c r="V346" s="130">
        <v>1813771264</v>
      </c>
      <c r="W346" s="130">
        <v>1828482812</v>
      </c>
      <c r="X346" s="130">
        <v>10518878465</v>
      </c>
      <c r="Y346" s="130">
        <v>1784198252</v>
      </c>
      <c r="Z346" s="130">
        <v>1475234395</v>
      </c>
      <c r="AA346" s="130">
        <v>1103052696</v>
      </c>
      <c r="AB346" s="130">
        <v>4616197288</v>
      </c>
      <c r="AC346" s="130">
        <v>2199436360</v>
      </c>
      <c r="AD346" s="130">
        <v>959552397</v>
      </c>
      <c r="AE346" s="56">
        <v>923431657</v>
      </c>
      <c r="AF346" s="56"/>
      <c r="AG346" s="56"/>
      <c r="AH346" s="56"/>
      <c r="AI346" s="56"/>
    </row>
    <row r="347" spans="2:63" x14ac:dyDescent="0.35">
      <c r="B347" s="64">
        <f>+'Option inputs'!$B$25</f>
        <v>11</v>
      </c>
      <c r="C347" s="122" t="str">
        <f>'Option inputs'!$C$25</f>
        <v>Option 4B</v>
      </c>
      <c r="D347" s="62"/>
      <c r="E347" s="68" t="s">
        <v>35</v>
      </c>
      <c r="F347" s="130"/>
      <c r="G347" s="130">
        <v>860825648</v>
      </c>
      <c r="H347" s="130">
        <v>839340468</v>
      </c>
      <c r="I347" s="130">
        <v>830297283</v>
      </c>
      <c r="J347" s="130">
        <v>1817931082</v>
      </c>
      <c r="K347" s="130">
        <v>2543985825</v>
      </c>
      <c r="L347" s="130">
        <v>1785131812</v>
      </c>
      <c r="M347" s="130">
        <v>2577326421</v>
      </c>
      <c r="N347" s="130">
        <v>2891189083</v>
      </c>
      <c r="O347" s="130">
        <v>7111638256</v>
      </c>
      <c r="P347" s="130">
        <v>5624115408</v>
      </c>
      <c r="Q347" s="130">
        <v>4728233690</v>
      </c>
      <c r="R347" s="130">
        <v>1672281613</v>
      </c>
      <c r="S347" s="130">
        <v>7373249511</v>
      </c>
      <c r="T347" s="130">
        <v>4967754286</v>
      </c>
      <c r="U347" s="130">
        <v>1312821578</v>
      </c>
      <c r="V347" s="130">
        <v>1959863333</v>
      </c>
      <c r="W347" s="130">
        <v>1785573726</v>
      </c>
      <c r="X347" s="130">
        <v>10906673692</v>
      </c>
      <c r="Y347" s="130">
        <v>1769884506</v>
      </c>
      <c r="Z347" s="130">
        <v>2027266819</v>
      </c>
      <c r="AA347" s="130">
        <v>783627434</v>
      </c>
      <c r="AB347" s="130">
        <v>4338550117</v>
      </c>
      <c r="AC347" s="130">
        <v>2201184112</v>
      </c>
      <c r="AD347" s="130">
        <v>1115747819</v>
      </c>
      <c r="AE347" s="56">
        <v>933576232</v>
      </c>
      <c r="AF347" s="56"/>
      <c r="AG347" s="56"/>
      <c r="AH347" s="56"/>
      <c r="AI347" s="56"/>
    </row>
    <row r="348" spans="2:63" x14ac:dyDescent="0.35">
      <c r="B348" s="64">
        <f>+'Option inputs'!$B$26</f>
        <v>12</v>
      </c>
      <c r="C348" s="122" t="str">
        <f>'Option inputs'!$C$26</f>
        <v>Option 4C</v>
      </c>
      <c r="D348" s="62"/>
      <c r="E348" s="68" t="s">
        <v>35</v>
      </c>
      <c r="F348" s="130"/>
      <c r="G348" s="130">
        <v>860880910</v>
      </c>
      <c r="H348" s="130">
        <v>839342564</v>
      </c>
      <c r="I348" s="130">
        <v>830326575</v>
      </c>
      <c r="J348" s="130">
        <v>1818926848</v>
      </c>
      <c r="K348" s="130">
        <v>2431602084</v>
      </c>
      <c r="L348" s="130">
        <v>1842199683</v>
      </c>
      <c r="M348" s="130">
        <v>2620232061</v>
      </c>
      <c r="N348" s="130">
        <v>2876737874</v>
      </c>
      <c r="O348" s="130">
        <v>7129630557</v>
      </c>
      <c r="P348" s="130">
        <v>5599598011</v>
      </c>
      <c r="Q348" s="130">
        <v>4727424204</v>
      </c>
      <c r="R348" s="130">
        <v>1672650873</v>
      </c>
      <c r="S348" s="130">
        <v>7373782523</v>
      </c>
      <c r="T348" s="130">
        <v>4967309248</v>
      </c>
      <c r="U348" s="130">
        <v>1312934807</v>
      </c>
      <c r="V348" s="130">
        <v>1960008771</v>
      </c>
      <c r="W348" s="130">
        <v>1785557946</v>
      </c>
      <c r="X348" s="130">
        <v>10906656328</v>
      </c>
      <c r="Y348" s="130">
        <v>1769721253</v>
      </c>
      <c r="Z348" s="130">
        <v>2027255798</v>
      </c>
      <c r="AA348" s="130">
        <v>783735609</v>
      </c>
      <c r="AB348" s="130">
        <v>4338407845</v>
      </c>
      <c r="AC348" s="130">
        <v>2201278084</v>
      </c>
      <c r="AD348" s="130">
        <v>1115889487</v>
      </c>
      <c r="AE348" s="56">
        <v>933627027</v>
      </c>
      <c r="AF348" s="56"/>
      <c r="AG348" s="56"/>
      <c r="AH348" s="56"/>
      <c r="AI348" s="56"/>
    </row>
    <row r="349" spans="2:63" x14ac:dyDescent="0.35">
      <c r="E349" s="66"/>
      <c r="AF349" s="46"/>
      <c r="AG349" s="46"/>
      <c r="AH349" s="46"/>
      <c r="AI349" s="46"/>
    </row>
    <row r="350" spans="2:63" x14ac:dyDescent="0.35">
      <c r="B350" s="59" t="s">
        <v>14</v>
      </c>
      <c r="C350" s="59" t="s">
        <v>13</v>
      </c>
      <c r="D350" s="59" t="str">
        <f>'Interface and charts'!$K$6</f>
        <v>Slow change</v>
      </c>
      <c r="E350" s="63" t="s">
        <v>7</v>
      </c>
      <c r="F350" s="171" t="str">
        <f>Calculation!G$56</f>
        <v>FY 2019-20</v>
      </c>
      <c r="G350" s="171" t="str">
        <f>Calculation!H$56</f>
        <v>FY 2020-21</v>
      </c>
      <c r="H350" s="171" t="str">
        <f>Calculation!I$56</f>
        <v>FY 2021-22</v>
      </c>
      <c r="I350" s="171" t="str">
        <f>Calculation!J$56</f>
        <v>FY 2022-23</v>
      </c>
      <c r="J350" s="171" t="str">
        <f>Calculation!K$56</f>
        <v>FY 2023-24</v>
      </c>
      <c r="K350" s="171" t="str">
        <f>Calculation!L$56</f>
        <v>FY 2024-25</v>
      </c>
      <c r="L350" s="171" t="str">
        <f>Calculation!M$56</f>
        <v>FY 2025-26</v>
      </c>
      <c r="M350" s="171" t="str">
        <f>Calculation!N$56</f>
        <v>FY 2026-27</v>
      </c>
      <c r="N350" s="171" t="str">
        <f>Calculation!O$56</f>
        <v>FY 2027-28</v>
      </c>
      <c r="O350" s="171" t="str">
        <f>Calculation!P$56</f>
        <v>FY 2028-29</v>
      </c>
      <c r="P350" s="171" t="str">
        <f>Calculation!Q$56</f>
        <v>FY 2029-30</v>
      </c>
      <c r="Q350" s="171" t="str">
        <f>Calculation!R$56</f>
        <v>FY 2030-31</v>
      </c>
      <c r="R350" s="171" t="str">
        <f>Calculation!S$56</f>
        <v>FY 2031-32</v>
      </c>
      <c r="S350" s="171" t="str">
        <f>Calculation!T$56</f>
        <v>FY 2032-33</v>
      </c>
      <c r="T350" s="171" t="str">
        <f>Calculation!U$56</f>
        <v>FY 2033-34</v>
      </c>
      <c r="U350" s="171" t="str">
        <f>Calculation!V$56</f>
        <v>FY 2034-35</v>
      </c>
      <c r="V350" s="171" t="str">
        <f>Calculation!W$56</f>
        <v>FY 2035-36</v>
      </c>
      <c r="W350" s="171" t="str">
        <f>Calculation!X$56</f>
        <v>FY 2036-37</v>
      </c>
      <c r="X350" s="171" t="str">
        <f>Calculation!Y$56</f>
        <v>FY 2037-38</v>
      </c>
      <c r="Y350" s="171" t="str">
        <f>Calculation!Z$56</f>
        <v>FY 2038-39</v>
      </c>
      <c r="Z350" s="171" t="str">
        <f>Calculation!AA$56</f>
        <v>FY 2039-40</v>
      </c>
      <c r="AA350" s="171" t="str">
        <f>Calculation!AB$56</f>
        <v>FY 2040-41</v>
      </c>
      <c r="AB350" s="171" t="str">
        <f>Calculation!AC$56</f>
        <v>FY 2041-42</v>
      </c>
      <c r="AC350" s="171" t="str">
        <f>Calculation!AD$56</f>
        <v>FY 2042-43</v>
      </c>
      <c r="AD350" s="171" t="str">
        <f>Calculation!AE$56</f>
        <v>FY 2043-44</v>
      </c>
      <c r="AE350" s="171" t="str">
        <f>Calculation!AF$56</f>
        <v>FY 2044-45</v>
      </c>
      <c r="AF350" s="171" t="str">
        <f>Calculation!AG$56</f>
        <v>FY 2045-46</v>
      </c>
      <c r="AG350" s="171" t="str">
        <f>Calculation!AH$56</f>
        <v>FY 2046-47</v>
      </c>
      <c r="AH350" s="171" t="str">
        <f>Calculation!AI$56</f>
        <v>FY 2047-48</v>
      </c>
      <c r="AI350" s="171" t="str">
        <f>Calculation!AJ$56</f>
        <v>FY 2048-49</v>
      </c>
    </row>
    <row r="351" spans="2:63" x14ac:dyDescent="0.35">
      <c r="B351" s="9">
        <v>0</v>
      </c>
      <c r="C351" s="123" t="str">
        <f>'Option inputs'!$C$14</f>
        <v>Base case</v>
      </c>
      <c r="D351" s="62"/>
      <c r="E351" s="68" t="s">
        <v>35</v>
      </c>
      <c r="F351" s="151"/>
      <c r="G351" s="151">
        <v>1445986976</v>
      </c>
      <c r="H351" s="151">
        <v>792458126</v>
      </c>
      <c r="I351" s="151">
        <v>788742062</v>
      </c>
      <c r="J351" s="151">
        <v>996923196</v>
      </c>
      <c r="K351" s="151">
        <v>1505404858</v>
      </c>
      <c r="L351" s="151">
        <v>795679150</v>
      </c>
      <c r="M351" s="151">
        <v>777235486</v>
      </c>
      <c r="N351" s="151">
        <v>774089412</v>
      </c>
      <c r="O351" s="151">
        <v>801995018</v>
      </c>
      <c r="P351" s="151">
        <v>707445992</v>
      </c>
      <c r="Q351" s="151">
        <v>692358209</v>
      </c>
      <c r="R351" s="151">
        <v>721106405</v>
      </c>
      <c r="S351" s="151">
        <v>803195862</v>
      </c>
      <c r="T351" s="151">
        <v>702241834</v>
      </c>
      <c r="U351" s="151">
        <v>1021215374</v>
      </c>
      <c r="V351" s="151">
        <v>4637000033</v>
      </c>
      <c r="W351" s="151">
        <v>3850592259</v>
      </c>
      <c r="X351" s="151">
        <v>7144655436</v>
      </c>
      <c r="Y351" s="151">
        <v>1260423465</v>
      </c>
      <c r="Z351" s="151">
        <v>1918289292</v>
      </c>
      <c r="AA351" s="151">
        <v>1968900597</v>
      </c>
      <c r="AB351" s="151">
        <v>3072334631</v>
      </c>
      <c r="AC351" s="151">
        <v>3053559148</v>
      </c>
      <c r="AD351" s="151">
        <v>862238257</v>
      </c>
      <c r="AE351" s="151">
        <v>941863261</v>
      </c>
      <c r="AF351" s="151"/>
      <c r="AG351" s="151"/>
      <c r="AH351" s="151"/>
      <c r="AI351" s="151"/>
    </row>
    <row r="352" spans="2:63" x14ac:dyDescent="0.35">
      <c r="B352" s="9">
        <v>1</v>
      </c>
      <c r="C352" s="122" t="str">
        <f>'Option inputs'!$C$15</f>
        <v>Option 1A</v>
      </c>
      <c r="D352" s="62"/>
      <c r="E352" s="68" t="s">
        <v>35</v>
      </c>
      <c r="F352" s="151"/>
      <c r="G352" s="151">
        <v>1402374910</v>
      </c>
      <c r="H352" s="151">
        <v>792846302</v>
      </c>
      <c r="I352" s="151">
        <v>789129034</v>
      </c>
      <c r="J352" s="151">
        <v>821674857</v>
      </c>
      <c r="K352" s="151">
        <v>790051906</v>
      </c>
      <c r="L352" s="151">
        <v>796145324</v>
      </c>
      <c r="M352" s="151">
        <v>777721674</v>
      </c>
      <c r="N352" s="151">
        <v>774958123</v>
      </c>
      <c r="O352" s="151">
        <v>802152130</v>
      </c>
      <c r="P352" s="151">
        <v>707656720</v>
      </c>
      <c r="Q352" s="151">
        <v>692359111</v>
      </c>
      <c r="R352" s="151">
        <v>693395113</v>
      </c>
      <c r="S352" s="151">
        <v>696295834</v>
      </c>
      <c r="T352" s="151">
        <v>702963194</v>
      </c>
      <c r="U352" s="151">
        <v>820488187</v>
      </c>
      <c r="V352" s="151">
        <v>4540407249</v>
      </c>
      <c r="W352" s="151">
        <v>3924519478</v>
      </c>
      <c r="X352" s="151">
        <v>6911079651</v>
      </c>
      <c r="Y352" s="151">
        <v>1298496830</v>
      </c>
      <c r="Z352" s="151">
        <v>1969102553</v>
      </c>
      <c r="AA352" s="151">
        <v>2040117724</v>
      </c>
      <c r="AB352" s="151">
        <v>3077442238</v>
      </c>
      <c r="AC352" s="151">
        <v>3125690663</v>
      </c>
      <c r="AD352" s="151">
        <v>825635681</v>
      </c>
      <c r="AE352" s="151">
        <v>947397537</v>
      </c>
      <c r="AF352" s="151"/>
      <c r="AG352" s="151"/>
      <c r="AH352" s="151"/>
      <c r="AI352" s="151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  <c r="BA352" s="102"/>
      <c r="BB352" s="102"/>
      <c r="BC352" s="102"/>
      <c r="BD352" s="102"/>
      <c r="BE352" s="102"/>
      <c r="BF352" s="102"/>
      <c r="BG352" s="102"/>
      <c r="BH352" s="102"/>
      <c r="BI352" s="102"/>
      <c r="BJ352" s="102"/>
      <c r="BK352" s="102"/>
    </row>
    <row r="353" spans="2:63" x14ac:dyDescent="0.35">
      <c r="B353" s="9">
        <v>2</v>
      </c>
      <c r="C353" s="122" t="str">
        <f>'Option inputs'!$C$16</f>
        <v>Option 1B</v>
      </c>
      <c r="D353" s="62"/>
      <c r="E353" s="68" t="s">
        <v>35</v>
      </c>
      <c r="F353" s="151"/>
      <c r="G353" s="151">
        <v>1410924071</v>
      </c>
      <c r="H353" s="151">
        <v>792770956</v>
      </c>
      <c r="I353" s="151">
        <v>789053581</v>
      </c>
      <c r="J353" s="151">
        <v>811255904</v>
      </c>
      <c r="K353" s="151">
        <v>789453163</v>
      </c>
      <c r="L353" s="151">
        <v>795547200</v>
      </c>
      <c r="M353" s="151">
        <v>777058810</v>
      </c>
      <c r="N353" s="151">
        <v>774441283</v>
      </c>
      <c r="O353" s="151">
        <v>801498522</v>
      </c>
      <c r="P353" s="151">
        <v>707350540</v>
      </c>
      <c r="Q353" s="151">
        <v>692347093</v>
      </c>
      <c r="R353" s="151">
        <v>693212051</v>
      </c>
      <c r="S353" s="151">
        <v>695580616</v>
      </c>
      <c r="T353" s="151">
        <v>702426586</v>
      </c>
      <c r="U353" s="151">
        <v>726849146</v>
      </c>
      <c r="V353" s="151">
        <v>3972382492</v>
      </c>
      <c r="W353" s="151">
        <v>3875346648</v>
      </c>
      <c r="X353" s="151">
        <v>6942385035</v>
      </c>
      <c r="Y353" s="151">
        <v>1309869948</v>
      </c>
      <c r="Z353" s="151">
        <v>2036809059</v>
      </c>
      <c r="AA353" s="151">
        <v>2121535297</v>
      </c>
      <c r="AB353" s="151">
        <v>3209847271</v>
      </c>
      <c r="AC353" s="151">
        <v>3179665648</v>
      </c>
      <c r="AD353" s="151">
        <v>797618193</v>
      </c>
      <c r="AE353" s="151">
        <v>949775235</v>
      </c>
      <c r="AF353" s="151"/>
      <c r="AG353" s="151"/>
      <c r="AH353" s="151"/>
      <c r="AI353" s="151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  <c r="BA353" s="102"/>
      <c r="BB353" s="102"/>
      <c r="BC353" s="102"/>
      <c r="BD353" s="102"/>
      <c r="BE353" s="102"/>
      <c r="BF353" s="102"/>
      <c r="BG353" s="102"/>
      <c r="BH353" s="102"/>
      <c r="BI353" s="102"/>
      <c r="BJ353" s="102"/>
      <c r="BK353" s="102"/>
    </row>
    <row r="354" spans="2:63" x14ac:dyDescent="0.35">
      <c r="B354" s="9">
        <v>3</v>
      </c>
      <c r="C354" s="122" t="str">
        <f>'Option inputs'!$C$17</f>
        <v>Option 1C</v>
      </c>
      <c r="D354" s="62"/>
      <c r="E354" s="68" t="s">
        <v>35</v>
      </c>
      <c r="F354" s="151"/>
      <c r="G354" s="151">
        <v>1439101242</v>
      </c>
      <c r="H354" s="151">
        <v>792516504</v>
      </c>
      <c r="I354" s="151">
        <v>788800643</v>
      </c>
      <c r="J354" s="151">
        <v>786024754</v>
      </c>
      <c r="K354" s="151">
        <v>790004777</v>
      </c>
      <c r="L354" s="151">
        <v>796975588</v>
      </c>
      <c r="M354" s="151">
        <v>778704053</v>
      </c>
      <c r="N354" s="151">
        <v>776284524</v>
      </c>
      <c r="O354" s="151">
        <v>802786951</v>
      </c>
      <c r="P354" s="151">
        <v>707593095</v>
      </c>
      <c r="Q354" s="151">
        <v>692661166</v>
      </c>
      <c r="R354" s="151">
        <v>693882370</v>
      </c>
      <c r="S354" s="151">
        <v>695829602</v>
      </c>
      <c r="T354" s="151">
        <v>702284936</v>
      </c>
      <c r="U354" s="151">
        <v>726117181</v>
      </c>
      <c r="V354" s="151">
        <v>3974965235</v>
      </c>
      <c r="W354" s="151">
        <v>3874993873</v>
      </c>
      <c r="X354" s="151">
        <v>6942544206</v>
      </c>
      <c r="Y354" s="151">
        <v>1309894654</v>
      </c>
      <c r="Z354" s="151">
        <v>2036792686</v>
      </c>
      <c r="AA354" s="151">
        <v>2121547100</v>
      </c>
      <c r="AB354" s="151">
        <v>3209856833</v>
      </c>
      <c r="AC354" s="151">
        <v>3179645149</v>
      </c>
      <c r="AD354" s="151">
        <v>797620621</v>
      </c>
      <c r="AE354" s="151">
        <v>949774287</v>
      </c>
      <c r="AF354" s="151"/>
      <c r="AG354" s="151"/>
      <c r="AH354" s="151"/>
      <c r="AI354" s="151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  <c r="BA354" s="102"/>
      <c r="BB354" s="102"/>
      <c r="BC354" s="102"/>
      <c r="BD354" s="102"/>
      <c r="BE354" s="102"/>
      <c r="BF354" s="102"/>
      <c r="BG354" s="102"/>
      <c r="BH354" s="102"/>
      <c r="BI354" s="102"/>
      <c r="BJ354" s="102"/>
      <c r="BK354" s="102"/>
    </row>
    <row r="355" spans="2:63" x14ac:dyDescent="0.35">
      <c r="B355" s="9">
        <v>4</v>
      </c>
      <c r="C355" s="122" t="str">
        <f>'Option inputs'!$C$18</f>
        <v>Option 2A</v>
      </c>
      <c r="D355" s="62"/>
      <c r="E355" s="68" t="s">
        <v>35</v>
      </c>
      <c r="F355" s="151"/>
      <c r="G355" s="151">
        <v>1310316765</v>
      </c>
      <c r="H355" s="151">
        <v>793661715</v>
      </c>
      <c r="I355" s="151">
        <v>789915676</v>
      </c>
      <c r="J355" s="151">
        <v>787064493</v>
      </c>
      <c r="K355" s="151">
        <v>790366653</v>
      </c>
      <c r="L355" s="151">
        <v>796178805</v>
      </c>
      <c r="M355" s="151">
        <v>777736434</v>
      </c>
      <c r="N355" s="151">
        <v>774752066</v>
      </c>
      <c r="O355" s="151">
        <v>802133239</v>
      </c>
      <c r="P355" s="151">
        <v>707811445</v>
      </c>
      <c r="Q355" s="151">
        <v>693172018</v>
      </c>
      <c r="R355" s="151">
        <v>694107789</v>
      </c>
      <c r="S355" s="151">
        <v>696591547</v>
      </c>
      <c r="T355" s="151">
        <v>703195613</v>
      </c>
      <c r="U355" s="151">
        <v>759480878</v>
      </c>
      <c r="V355" s="151">
        <v>4374050760</v>
      </c>
      <c r="W355" s="151">
        <v>4011378790</v>
      </c>
      <c r="X355" s="151">
        <v>7259922457</v>
      </c>
      <c r="Y355" s="151">
        <v>1227321021</v>
      </c>
      <c r="Z355" s="151">
        <v>1957678609</v>
      </c>
      <c r="AA355" s="151">
        <v>1959436271</v>
      </c>
      <c r="AB355" s="151">
        <v>3148077077</v>
      </c>
      <c r="AC355" s="151">
        <v>3099473839</v>
      </c>
      <c r="AD355" s="151">
        <v>832694510</v>
      </c>
      <c r="AE355" s="151">
        <v>939100919</v>
      </c>
      <c r="AF355" s="151"/>
      <c r="AG355" s="151"/>
      <c r="AH355" s="151"/>
      <c r="AI355" s="151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  <c r="BA355" s="102"/>
      <c r="BB355" s="102"/>
      <c r="BC355" s="102"/>
      <c r="BD355" s="102"/>
      <c r="BE355" s="102"/>
      <c r="BF355" s="102"/>
      <c r="BG355" s="102"/>
      <c r="BH355" s="102"/>
      <c r="BI355" s="102"/>
      <c r="BJ355" s="102"/>
      <c r="BK355" s="102"/>
    </row>
    <row r="356" spans="2:63" x14ac:dyDescent="0.35">
      <c r="B356" s="9">
        <v>5</v>
      </c>
      <c r="C356" s="122" t="str">
        <f>'Option inputs'!$C$19</f>
        <v>Option 2B</v>
      </c>
      <c r="D356" s="62"/>
      <c r="E356" s="68" t="s">
        <v>35</v>
      </c>
      <c r="F356" s="151"/>
      <c r="G356" s="151">
        <v>1271186026</v>
      </c>
      <c r="H356" s="151">
        <v>794012995</v>
      </c>
      <c r="I356" s="151">
        <v>790257863</v>
      </c>
      <c r="J356" s="151">
        <v>787387850</v>
      </c>
      <c r="K356" s="151">
        <v>790015788</v>
      </c>
      <c r="L356" s="151">
        <v>795751900</v>
      </c>
      <c r="M356" s="151">
        <v>777179549</v>
      </c>
      <c r="N356" s="151">
        <v>774416144</v>
      </c>
      <c r="O356" s="151">
        <v>801641670</v>
      </c>
      <c r="P356" s="151">
        <v>707719581</v>
      </c>
      <c r="Q356" s="151">
        <v>693075826</v>
      </c>
      <c r="R356" s="151">
        <v>694219986</v>
      </c>
      <c r="S356" s="151">
        <v>696001813</v>
      </c>
      <c r="T356" s="151">
        <v>702803380</v>
      </c>
      <c r="U356" s="151">
        <v>727396994</v>
      </c>
      <c r="V356" s="151">
        <v>4044159055</v>
      </c>
      <c r="W356" s="151">
        <v>3934768484</v>
      </c>
      <c r="X356" s="151">
        <v>7035278647</v>
      </c>
      <c r="Y356" s="151">
        <v>1268175448</v>
      </c>
      <c r="Z356" s="151">
        <v>2027181344</v>
      </c>
      <c r="AA356" s="151">
        <v>2074255700</v>
      </c>
      <c r="AB356" s="151">
        <v>3171096120</v>
      </c>
      <c r="AC356" s="151">
        <v>3234963773</v>
      </c>
      <c r="AD356" s="151">
        <v>805516454</v>
      </c>
      <c r="AE356" s="151">
        <v>941789876</v>
      </c>
      <c r="AF356" s="151"/>
      <c r="AG356" s="151"/>
      <c r="AH356" s="151"/>
      <c r="AI356" s="151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  <c r="BA356" s="102"/>
      <c r="BB356" s="102"/>
      <c r="BC356" s="102"/>
      <c r="BD356" s="102"/>
      <c r="BE356" s="102"/>
      <c r="BF356" s="102"/>
      <c r="BG356" s="102"/>
      <c r="BH356" s="102"/>
      <c r="BI356" s="102"/>
      <c r="BJ356" s="102"/>
      <c r="BK356" s="102"/>
    </row>
    <row r="357" spans="2:63" x14ac:dyDescent="0.35">
      <c r="B357" s="9">
        <v>6</v>
      </c>
      <c r="C357" s="122" t="str">
        <f>'Option inputs'!$C$20</f>
        <v>Option 2C</v>
      </c>
      <c r="D357" s="62"/>
      <c r="E357" s="68" t="s">
        <v>35</v>
      </c>
      <c r="F357" s="151"/>
      <c r="G357" s="151">
        <v>1163220179</v>
      </c>
      <c r="H357" s="151">
        <v>794986681</v>
      </c>
      <c r="I357" s="151">
        <v>791203946</v>
      </c>
      <c r="J357" s="151">
        <v>788277685</v>
      </c>
      <c r="K357" s="151">
        <v>790470865</v>
      </c>
      <c r="L357" s="151">
        <v>796124195</v>
      </c>
      <c r="M357" s="151">
        <v>777525082</v>
      </c>
      <c r="N357" s="151">
        <v>774787763</v>
      </c>
      <c r="O357" s="151">
        <v>801914811</v>
      </c>
      <c r="P357" s="151">
        <v>708059920</v>
      </c>
      <c r="Q357" s="151">
        <v>693346522</v>
      </c>
      <c r="R357" s="151">
        <v>694446414</v>
      </c>
      <c r="S357" s="151">
        <v>695890819</v>
      </c>
      <c r="T357" s="151">
        <v>703207243</v>
      </c>
      <c r="U357" s="151">
        <v>727815453</v>
      </c>
      <c r="V357" s="151">
        <v>4092251835</v>
      </c>
      <c r="W357" s="151">
        <v>3934845914</v>
      </c>
      <c r="X357" s="151">
        <v>7035044711</v>
      </c>
      <c r="Y357" s="151">
        <v>1268208631</v>
      </c>
      <c r="Z357" s="151">
        <v>2027169732</v>
      </c>
      <c r="AA357" s="151">
        <v>2074250278</v>
      </c>
      <c r="AB357" s="151">
        <v>3171067929</v>
      </c>
      <c r="AC357" s="151">
        <v>3235026275</v>
      </c>
      <c r="AD357" s="151">
        <v>805500841</v>
      </c>
      <c r="AE357" s="151">
        <v>941790074</v>
      </c>
      <c r="AF357" s="151"/>
      <c r="AG357" s="151"/>
      <c r="AH357" s="151"/>
      <c r="AI357" s="151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  <c r="BA357" s="102"/>
      <c r="BB357" s="102"/>
      <c r="BC357" s="102"/>
      <c r="BD357" s="102"/>
      <c r="BE357" s="102"/>
      <c r="BF357" s="102"/>
      <c r="BG357" s="102"/>
      <c r="BH357" s="102"/>
      <c r="BI357" s="102"/>
      <c r="BJ357" s="102"/>
      <c r="BK357" s="102"/>
    </row>
    <row r="358" spans="2:63" x14ac:dyDescent="0.35">
      <c r="B358" s="9">
        <v>7</v>
      </c>
      <c r="C358" s="122" t="str">
        <f>'Option inputs'!$C$21</f>
        <v>Option 3A</v>
      </c>
      <c r="D358" s="62"/>
      <c r="E358" s="68" t="s">
        <v>35</v>
      </c>
      <c r="F358" s="130"/>
      <c r="G358" s="130">
        <v>1413002882</v>
      </c>
      <c r="H358" s="130">
        <v>792750802</v>
      </c>
      <c r="I358" s="130">
        <v>789032447</v>
      </c>
      <c r="J358" s="130">
        <v>786253075</v>
      </c>
      <c r="K358" s="130">
        <v>789637802</v>
      </c>
      <c r="L358" s="130">
        <v>795535189</v>
      </c>
      <c r="M358" s="130">
        <v>777033952</v>
      </c>
      <c r="N358" s="130">
        <v>774085283</v>
      </c>
      <c r="O358" s="130">
        <v>801552139</v>
      </c>
      <c r="P358" s="130">
        <v>707489752</v>
      </c>
      <c r="Q358" s="130">
        <v>692603992</v>
      </c>
      <c r="R358" s="130">
        <v>693634748</v>
      </c>
      <c r="S358" s="130">
        <v>696280496</v>
      </c>
      <c r="T358" s="130">
        <v>702507106</v>
      </c>
      <c r="U358" s="130">
        <v>930789244</v>
      </c>
      <c r="V358" s="130">
        <v>4579323043</v>
      </c>
      <c r="W358" s="130">
        <v>3964802790</v>
      </c>
      <c r="X358" s="130">
        <v>6914587297</v>
      </c>
      <c r="Y358" s="130">
        <v>1248724032</v>
      </c>
      <c r="Z358" s="130">
        <v>1986659418</v>
      </c>
      <c r="AA358" s="130">
        <v>2094070844</v>
      </c>
      <c r="AB358" s="130">
        <v>2908839087</v>
      </c>
      <c r="AC358" s="130">
        <v>3199849712</v>
      </c>
      <c r="AD358" s="130">
        <v>824731505</v>
      </c>
      <c r="AE358" s="56">
        <v>945456201</v>
      </c>
      <c r="AF358" s="56"/>
      <c r="AG358" s="56"/>
      <c r="AH358" s="56"/>
      <c r="AI358" s="56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  <c r="BA358" s="102"/>
      <c r="BB358" s="102"/>
      <c r="BC358" s="102"/>
      <c r="BD358" s="102"/>
      <c r="BE358" s="102"/>
      <c r="BF358" s="102"/>
      <c r="BG358" s="102"/>
      <c r="BH358" s="102"/>
      <c r="BI358" s="102"/>
      <c r="BJ358" s="102"/>
      <c r="BK358" s="102"/>
    </row>
    <row r="359" spans="2:63" x14ac:dyDescent="0.35">
      <c r="B359" s="64">
        <f>+'Option inputs'!$B$22</f>
        <v>8</v>
      </c>
      <c r="C359" s="122" t="str">
        <f>'Option inputs'!$C$22</f>
        <v>Option 3B</v>
      </c>
      <c r="D359" s="62"/>
      <c r="E359" s="68" t="s">
        <v>35</v>
      </c>
      <c r="F359" s="130"/>
      <c r="G359" s="130">
        <v>1394120085</v>
      </c>
      <c r="H359" s="130">
        <v>792919696</v>
      </c>
      <c r="I359" s="130">
        <v>789204967</v>
      </c>
      <c r="J359" s="130">
        <v>786397024</v>
      </c>
      <c r="K359" s="130">
        <v>789041294</v>
      </c>
      <c r="L359" s="130">
        <v>794887650</v>
      </c>
      <c r="M359" s="130">
        <v>776348394</v>
      </c>
      <c r="N359" s="130">
        <v>773586471</v>
      </c>
      <c r="O359" s="130">
        <v>800759837</v>
      </c>
      <c r="P359" s="130">
        <v>707243221</v>
      </c>
      <c r="Q359" s="130">
        <v>692553593</v>
      </c>
      <c r="R359" s="130">
        <v>693580353</v>
      </c>
      <c r="S359" s="130">
        <v>695623647</v>
      </c>
      <c r="T359" s="130">
        <v>702005138</v>
      </c>
      <c r="U359" s="130">
        <v>879324573</v>
      </c>
      <c r="V359" s="130">
        <v>3845518014</v>
      </c>
      <c r="W359" s="130">
        <v>3879099225</v>
      </c>
      <c r="X359" s="130">
        <v>7076254320</v>
      </c>
      <c r="Y359" s="130">
        <v>1271247831</v>
      </c>
      <c r="Z359" s="130">
        <v>2028545960</v>
      </c>
      <c r="AA359" s="130">
        <v>2061939254</v>
      </c>
      <c r="AB359" s="130">
        <v>3170558761</v>
      </c>
      <c r="AC359" s="130">
        <v>3241534048</v>
      </c>
      <c r="AD359" s="130">
        <v>801957730</v>
      </c>
      <c r="AE359" s="56">
        <v>942435850</v>
      </c>
      <c r="AF359" s="56"/>
      <c r="AG359" s="56"/>
      <c r="AH359" s="56"/>
      <c r="AI359" s="56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  <c r="BA359" s="102"/>
      <c r="BB359" s="102"/>
      <c r="BC359" s="102"/>
      <c r="BD359" s="102"/>
      <c r="BE359" s="102"/>
      <c r="BF359" s="102"/>
      <c r="BG359" s="102"/>
      <c r="BH359" s="102"/>
      <c r="BI359" s="102"/>
      <c r="BJ359" s="102"/>
      <c r="BK359" s="102"/>
    </row>
    <row r="360" spans="2:63" x14ac:dyDescent="0.35">
      <c r="B360" s="64">
        <f>+'Option inputs'!$B$23</f>
        <v>9</v>
      </c>
      <c r="C360" s="122" t="str">
        <f>'Option inputs'!$C$23</f>
        <v>Option 3C</v>
      </c>
      <c r="D360" s="62"/>
      <c r="E360" s="68" t="s">
        <v>35</v>
      </c>
      <c r="F360" s="130"/>
      <c r="G360" s="130">
        <v>1163212157</v>
      </c>
      <c r="H360" s="130">
        <v>794985744</v>
      </c>
      <c r="I360" s="130">
        <v>791197924</v>
      </c>
      <c r="J360" s="130">
        <v>788274736</v>
      </c>
      <c r="K360" s="130">
        <v>790474764</v>
      </c>
      <c r="L360" s="130">
        <v>796121397</v>
      </c>
      <c r="M360" s="130">
        <v>777525739</v>
      </c>
      <c r="N360" s="130">
        <v>774837136</v>
      </c>
      <c r="O360" s="130">
        <v>801911451</v>
      </c>
      <c r="P360" s="130">
        <v>708135158</v>
      </c>
      <c r="Q360" s="130">
        <v>693328381</v>
      </c>
      <c r="R360" s="130">
        <v>694507868</v>
      </c>
      <c r="S360" s="130">
        <v>695838590</v>
      </c>
      <c r="T360" s="130">
        <v>703119746</v>
      </c>
      <c r="U360" s="130">
        <v>727672879</v>
      </c>
      <c r="V360" s="130">
        <v>4092381655</v>
      </c>
      <c r="W360" s="130">
        <v>3877223559</v>
      </c>
      <c r="X360" s="130">
        <v>7076815907</v>
      </c>
      <c r="Y360" s="130">
        <v>1271279068</v>
      </c>
      <c r="Z360" s="130">
        <v>2028430241</v>
      </c>
      <c r="AA360" s="130">
        <v>2061972590</v>
      </c>
      <c r="AB360" s="130">
        <v>3170518080</v>
      </c>
      <c r="AC360" s="130">
        <v>3241572288</v>
      </c>
      <c r="AD360" s="130">
        <v>801959122</v>
      </c>
      <c r="AE360" s="56">
        <v>942430360</v>
      </c>
      <c r="AF360" s="56"/>
      <c r="AG360" s="56"/>
      <c r="AH360" s="56"/>
      <c r="AI360" s="56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  <c r="BC360" s="102"/>
      <c r="BD360" s="102"/>
      <c r="BE360" s="102"/>
      <c r="BF360" s="102"/>
      <c r="BG360" s="102"/>
      <c r="BH360" s="102"/>
      <c r="BI360" s="102"/>
      <c r="BJ360" s="102"/>
      <c r="BK360" s="102"/>
    </row>
    <row r="361" spans="2:63" x14ac:dyDescent="0.35">
      <c r="B361" s="64">
        <f>+'Option inputs'!$B$24</f>
        <v>10</v>
      </c>
      <c r="C361" s="122" t="str">
        <f>'Option inputs'!$C$24</f>
        <v>Option 4A</v>
      </c>
      <c r="D361" s="62"/>
      <c r="E361" s="68" t="s">
        <v>35</v>
      </c>
      <c r="F361" s="130"/>
      <c r="G361" s="130">
        <v>1395936519</v>
      </c>
      <c r="H361" s="130">
        <v>792902349</v>
      </c>
      <c r="I361" s="130">
        <v>789183870</v>
      </c>
      <c r="J361" s="130">
        <v>786379256</v>
      </c>
      <c r="K361" s="130">
        <v>789768502</v>
      </c>
      <c r="L361" s="130">
        <v>794927891</v>
      </c>
      <c r="M361" s="130">
        <v>776449749</v>
      </c>
      <c r="N361" s="130">
        <v>773678335</v>
      </c>
      <c r="O361" s="130">
        <v>800870079</v>
      </c>
      <c r="P361" s="130">
        <v>707344176</v>
      </c>
      <c r="Q361" s="130">
        <v>692772163</v>
      </c>
      <c r="R361" s="130">
        <v>693603195</v>
      </c>
      <c r="S361" s="130">
        <v>696017671</v>
      </c>
      <c r="T361" s="130">
        <v>702204726</v>
      </c>
      <c r="U361" s="130">
        <v>897247390</v>
      </c>
      <c r="V361" s="130">
        <v>4516779672</v>
      </c>
      <c r="W361" s="130">
        <v>3991733910</v>
      </c>
      <c r="X361" s="130">
        <v>6913971220</v>
      </c>
      <c r="Y361" s="130">
        <v>1249203627</v>
      </c>
      <c r="Z361" s="130">
        <v>2014401909</v>
      </c>
      <c r="AA361" s="130">
        <v>2062385380</v>
      </c>
      <c r="AB361" s="130">
        <v>2897160077</v>
      </c>
      <c r="AC361" s="130">
        <v>3261058150</v>
      </c>
      <c r="AD361" s="130">
        <v>826211619</v>
      </c>
      <c r="AE361" s="56">
        <v>943056153</v>
      </c>
      <c r="AF361" s="56"/>
      <c r="AG361" s="56"/>
      <c r="AH361" s="56"/>
      <c r="AI361" s="56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  <c r="BA361" s="102"/>
      <c r="BB361" s="102"/>
      <c r="BC361" s="102"/>
      <c r="BD361" s="102"/>
      <c r="BE361" s="102"/>
      <c r="BF361" s="102"/>
      <c r="BG361" s="102"/>
      <c r="BH361" s="102"/>
      <c r="BI361" s="102"/>
      <c r="BJ361" s="102"/>
      <c r="BK361" s="102"/>
    </row>
    <row r="362" spans="2:63" x14ac:dyDescent="0.35">
      <c r="B362" s="64">
        <f>+'Option inputs'!$B$25</f>
        <v>11</v>
      </c>
      <c r="C362" s="122" t="str">
        <f>'Option inputs'!$C$25</f>
        <v>Option 4B</v>
      </c>
      <c r="D362" s="62"/>
      <c r="E362" s="68" t="s">
        <v>35</v>
      </c>
      <c r="F362" s="130"/>
      <c r="G362" s="130">
        <v>1331752038</v>
      </c>
      <c r="H362" s="130">
        <v>793469519</v>
      </c>
      <c r="I362" s="130">
        <v>789732895</v>
      </c>
      <c r="J362" s="130">
        <v>786891005</v>
      </c>
      <c r="K362" s="130">
        <v>789535873</v>
      </c>
      <c r="L362" s="130">
        <v>794615433</v>
      </c>
      <c r="M362" s="130">
        <v>776103169</v>
      </c>
      <c r="N362" s="130">
        <v>773456977</v>
      </c>
      <c r="O362" s="130">
        <v>800398513</v>
      </c>
      <c r="P362" s="130">
        <v>707301549</v>
      </c>
      <c r="Q362" s="130">
        <v>692887347</v>
      </c>
      <c r="R362" s="130">
        <v>693785802</v>
      </c>
      <c r="S362" s="130">
        <v>695523357</v>
      </c>
      <c r="T362" s="130">
        <v>701998228</v>
      </c>
      <c r="U362" s="130">
        <v>746750668</v>
      </c>
      <c r="V362" s="130">
        <v>3562066053</v>
      </c>
      <c r="W362" s="130">
        <v>3979065269</v>
      </c>
      <c r="X362" s="130">
        <v>7191556492</v>
      </c>
      <c r="Y362" s="130">
        <v>1193446204</v>
      </c>
      <c r="Z362" s="130">
        <v>2065927745</v>
      </c>
      <c r="AA362" s="130">
        <v>2161130111</v>
      </c>
      <c r="AB362" s="130">
        <v>3145158155</v>
      </c>
      <c r="AC362" s="130">
        <v>3240328145</v>
      </c>
      <c r="AD362" s="130">
        <v>809839528</v>
      </c>
      <c r="AE362" s="56">
        <v>940330451</v>
      </c>
      <c r="AF362" s="56"/>
      <c r="AG362" s="56"/>
      <c r="AH362" s="56"/>
      <c r="AI362" s="56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  <c r="BA362" s="102"/>
      <c r="BB362" s="102"/>
      <c r="BC362" s="102"/>
      <c r="BD362" s="102"/>
      <c r="BE362" s="102"/>
      <c r="BF362" s="102"/>
      <c r="BG362" s="102"/>
      <c r="BH362" s="102"/>
      <c r="BI362" s="102"/>
      <c r="BJ362" s="102"/>
      <c r="BK362" s="102"/>
    </row>
    <row r="363" spans="2:63" x14ac:dyDescent="0.35">
      <c r="B363" s="64">
        <f>+'Option inputs'!$B$26</f>
        <v>12</v>
      </c>
      <c r="C363" s="122" t="str">
        <f>'Option inputs'!$C$26</f>
        <v>Option 4C</v>
      </c>
      <c r="D363" s="62"/>
      <c r="E363" s="68" t="s">
        <v>35</v>
      </c>
      <c r="F363" s="130"/>
      <c r="G363" s="130">
        <v>1130279002</v>
      </c>
      <c r="H363" s="130">
        <v>795282961</v>
      </c>
      <c r="I363" s="130">
        <v>791488847</v>
      </c>
      <c r="J363" s="130">
        <v>788534560</v>
      </c>
      <c r="K363" s="130">
        <v>790735151</v>
      </c>
      <c r="L363" s="130">
        <v>795611023</v>
      </c>
      <c r="M363" s="130">
        <v>776998408</v>
      </c>
      <c r="N363" s="130">
        <v>774508975</v>
      </c>
      <c r="O363" s="130">
        <v>801363102</v>
      </c>
      <c r="P363" s="130">
        <v>708139860</v>
      </c>
      <c r="Q363" s="130">
        <v>693698802</v>
      </c>
      <c r="R363" s="130">
        <v>694529319</v>
      </c>
      <c r="S363" s="130">
        <v>695661181</v>
      </c>
      <c r="T363" s="130">
        <v>702924590</v>
      </c>
      <c r="U363" s="130">
        <v>727148502</v>
      </c>
      <c r="V363" s="130">
        <v>3671701027</v>
      </c>
      <c r="W363" s="130">
        <v>3978207224</v>
      </c>
      <c r="X363" s="130">
        <v>7191667324</v>
      </c>
      <c r="Y363" s="130">
        <v>1193323271</v>
      </c>
      <c r="Z363" s="130">
        <v>2065964941</v>
      </c>
      <c r="AA363" s="130">
        <v>2161108498</v>
      </c>
      <c r="AB363" s="130">
        <v>3145208056</v>
      </c>
      <c r="AC363" s="130">
        <v>3240294586</v>
      </c>
      <c r="AD363" s="130">
        <v>809832904</v>
      </c>
      <c r="AE363" s="56">
        <v>940335184</v>
      </c>
      <c r="AF363" s="56"/>
      <c r="AG363" s="56"/>
      <c r="AH363" s="56"/>
      <c r="AI363" s="56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  <c r="BA363" s="102"/>
      <c r="BB363" s="102"/>
      <c r="BC363" s="102"/>
      <c r="BD363" s="102"/>
      <c r="BE363" s="102"/>
      <c r="BF363" s="102"/>
      <c r="BG363" s="102"/>
      <c r="BH363" s="102"/>
      <c r="BI363" s="102"/>
      <c r="BJ363" s="102"/>
      <c r="BK363" s="102"/>
    </row>
    <row r="364" spans="2:63" x14ac:dyDescent="0.35">
      <c r="E364" s="66"/>
      <c r="AF364" s="46"/>
      <c r="AG364" s="46"/>
      <c r="AH364" s="46"/>
      <c r="AI364" s="46"/>
    </row>
    <row r="365" spans="2:63" x14ac:dyDescent="0.35">
      <c r="B365" s="59" t="s">
        <v>14</v>
      </c>
      <c r="C365" s="59" t="s">
        <v>13</v>
      </c>
      <c r="D365" s="59" t="str">
        <f>'Interface and charts'!$L$6</f>
        <v>Fast change</v>
      </c>
      <c r="E365" s="63" t="s">
        <v>7</v>
      </c>
      <c r="F365" s="171" t="str">
        <f>Calculation!G$56</f>
        <v>FY 2019-20</v>
      </c>
      <c r="G365" s="171" t="str">
        <f>Calculation!H$56</f>
        <v>FY 2020-21</v>
      </c>
      <c r="H365" s="171" t="str">
        <f>Calculation!I$56</f>
        <v>FY 2021-22</v>
      </c>
      <c r="I365" s="171" t="str">
        <f>Calculation!J$56</f>
        <v>FY 2022-23</v>
      </c>
      <c r="J365" s="171" t="str">
        <f>Calculation!K$56</f>
        <v>FY 2023-24</v>
      </c>
      <c r="K365" s="171" t="str">
        <f>Calculation!L$56</f>
        <v>FY 2024-25</v>
      </c>
      <c r="L365" s="171" t="str">
        <f>Calculation!M$56</f>
        <v>FY 2025-26</v>
      </c>
      <c r="M365" s="171" t="str">
        <f>Calculation!N$56</f>
        <v>FY 2026-27</v>
      </c>
      <c r="N365" s="171" t="str">
        <f>Calculation!O$56</f>
        <v>FY 2027-28</v>
      </c>
      <c r="O365" s="171" t="str">
        <f>Calculation!P$56</f>
        <v>FY 2028-29</v>
      </c>
      <c r="P365" s="171" t="str">
        <f>Calculation!Q$56</f>
        <v>FY 2029-30</v>
      </c>
      <c r="Q365" s="171" t="str">
        <f>Calculation!R$56</f>
        <v>FY 2030-31</v>
      </c>
      <c r="R365" s="171" t="str">
        <f>Calculation!S$56</f>
        <v>FY 2031-32</v>
      </c>
      <c r="S365" s="171" t="str">
        <f>Calculation!T$56</f>
        <v>FY 2032-33</v>
      </c>
      <c r="T365" s="171" t="str">
        <f>Calculation!U$56</f>
        <v>FY 2033-34</v>
      </c>
      <c r="U365" s="171" t="str">
        <f>Calculation!V$56</f>
        <v>FY 2034-35</v>
      </c>
      <c r="V365" s="171" t="str">
        <f>Calculation!W$56</f>
        <v>FY 2035-36</v>
      </c>
      <c r="W365" s="171" t="str">
        <f>Calculation!X$56</f>
        <v>FY 2036-37</v>
      </c>
      <c r="X365" s="171" t="str">
        <f>Calculation!Y$56</f>
        <v>FY 2037-38</v>
      </c>
      <c r="Y365" s="171" t="str">
        <f>Calculation!Z$56</f>
        <v>FY 2038-39</v>
      </c>
      <c r="Z365" s="171" t="str">
        <f>Calculation!AA$56</f>
        <v>FY 2039-40</v>
      </c>
      <c r="AA365" s="171" t="str">
        <f>Calculation!AB$56</f>
        <v>FY 2040-41</v>
      </c>
      <c r="AB365" s="171" t="str">
        <f>Calculation!AC$56</f>
        <v>FY 2041-42</v>
      </c>
      <c r="AC365" s="171" t="str">
        <f>Calculation!AD$56</f>
        <v>FY 2042-43</v>
      </c>
      <c r="AD365" s="171" t="str">
        <f>Calculation!AE$56</f>
        <v>FY 2043-44</v>
      </c>
      <c r="AE365" s="171" t="str">
        <f>Calculation!AF$56</f>
        <v>FY 2044-45</v>
      </c>
      <c r="AF365" s="171" t="str">
        <f>Calculation!AG$56</f>
        <v>FY 2045-46</v>
      </c>
      <c r="AG365" s="171" t="str">
        <f>Calculation!AH$56</f>
        <v>FY 2046-47</v>
      </c>
      <c r="AH365" s="171" t="str">
        <f>Calculation!AI$56</f>
        <v>FY 2047-48</v>
      </c>
      <c r="AI365" s="171" t="str">
        <f>Calculation!AJ$56</f>
        <v>FY 2048-49</v>
      </c>
    </row>
    <row r="366" spans="2:63" x14ac:dyDescent="0.35">
      <c r="B366" s="9">
        <v>0</v>
      </c>
      <c r="C366" s="123" t="str">
        <f>'Option inputs'!$C$14</f>
        <v>Base case</v>
      </c>
      <c r="D366" s="62"/>
      <c r="E366" s="68" t="s">
        <v>35</v>
      </c>
      <c r="F366" s="151"/>
      <c r="G366" s="151">
        <v>848684655</v>
      </c>
      <c r="H366" s="151">
        <v>829914250</v>
      </c>
      <c r="I366" s="151">
        <v>821811709</v>
      </c>
      <c r="J366" s="151">
        <v>1479264634</v>
      </c>
      <c r="K366" s="151">
        <v>2925411487</v>
      </c>
      <c r="L366" s="151">
        <v>2469104917</v>
      </c>
      <c r="M366" s="151">
        <v>2451917628</v>
      </c>
      <c r="N366" s="151">
        <v>3171760834</v>
      </c>
      <c r="O366" s="151">
        <v>8133333860</v>
      </c>
      <c r="P366" s="151">
        <v>5799276285</v>
      </c>
      <c r="Q366" s="151">
        <v>5031404950</v>
      </c>
      <c r="R366" s="151">
        <v>1146428134</v>
      </c>
      <c r="S366" s="151">
        <v>7036323959</v>
      </c>
      <c r="T366" s="151">
        <v>5574224815</v>
      </c>
      <c r="U366" s="151">
        <v>1949024587</v>
      </c>
      <c r="V366" s="151">
        <v>2029916574</v>
      </c>
      <c r="W366" s="151">
        <v>1823306151</v>
      </c>
      <c r="X366" s="151">
        <v>8582216476</v>
      </c>
      <c r="Y366" s="151">
        <v>2994066886</v>
      </c>
      <c r="Z366" s="151">
        <v>2477233784</v>
      </c>
      <c r="AA366" s="151">
        <v>908488101</v>
      </c>
      <c r="AB366" s="151">
        <v>5188689088</v>
      </c>
      <c r="AC366" s="151">
        <v>2879853137</v>
      </c>
      <c r="AD366" s="151">
        <v>978149467</v>
      </c>
      <c r="AE366" s="151">
        <v>887122678</v>
      </c>
      <c r="AF366" s="151"/>
      <c r="AG366" s="151"/>
      <c r="AH366" s="151"/>
      <c r="AI366" s="151"/>
    </row>
    <row r="367" spans="2:63" x14ac:dyDescent="0.35">
      <c r="B367" s="9">
        <v>1</v>
      </c>
      <c r="C367" s="122" t="str">
        <f>'Option inputs'!$C$15</f>
        <v>Option 1A</v>
      </c>
      <c r="D367" s="62"/>
      <c r="E367" s="68" t="s">
        <v>35</v>
      </c>
      <c r="F367" s="151"/>
      <c r="G367" s="151">
        <v>848728500</v>
      </c>
      <c r="H367" s="151">
        <v>829918655</v>
      </c>
      <c r="I367" s="151">
        <v>821834969</v>
      </c>
      <c r="J367" s="151">
        <v>1401910271</v>
      </c>
      <c r="K367" s="151">
        <v>2963968732</v>
      </c>
      <c r="L367" s="151">
        <v>2357639295</v>
      </c>
      <c r="M367" s="151">
        <v>2195155112</v>
      </c>
      <c r="N367" s="151">
        <v>3338391021</v>
      </c>
      <c r="O367" s="151">
        <v>6776019390</v>
      </c>
      <c r="P367" s="151">
        <v>6098036506</v>
      </c>
      <c r="Q367" s="151">
        <v>4852391040</v>
      </c>
      <c r="R367" s="151">
        <v>1127443724</v>
      </c>
      <c r="S367" s="151">
        <v>7138619951</v>
      </c>
      <c r="T367" s="151">
        <v>6137410873</v>
      </c>
      <c r="U367" s="151">
        <v>1654824554</v>
      </c>
      <c r="V367" s="151">
        <v>1905631885</v>
      </c>
      <c r="W367" s="151">
        <v>1760374387</v>
      </c>
      <c r="X367" s="151">
        <v>8809528942</v>
      </c>
      <c r="Y367" s="151">
        <v>2921940600</v>
      </c>
      <c r="Z367" s="151">
        <v>2460769081</v>
      </c>
      <c r="AA367" s="151">
        <v>888674005</v>
      </c>
      <c r="AB367" s="151">
        <v>5130308719</v>
      </c>
      <c r="AC367" s="151">
        <v>2881068815</v>
      </c>
      <c r="AD367" s="151">
        <v>982828517</v>
      </c>
      <c r="AE367" s="151">
        <v>902650737</v>
      </c>
      <c r="AF367" s="151"/>
      <c r="AG367" s="151"/>
      <c r="AH367" s="151"/>
      <c r="AI367" s="151"/>
    </row>
    <row r="368" spans="2:63" x14ac:dyDescent="0.35">
      <c r="B368" s="9">
        <v>2</v>
      </c>
      <c r="C368" s="122" t="str">
        <f>'Option inputs'!$C$16</f>
        <v>Option 1B</v>
      </c>
      <c r="D368" s="62"/>
      <c r="E368" s="68" t="s">
        <v>35</v>
      </c>
      <c r="F368" s="151"/>
      <c r="G368" s="151">
        <v>848699597</v>
      </c>
      <c r="H368" s="151">
        <v>829916158</v>
      </c>
      <c r="I368" s="151">
        <v>821822726</v>
      </c>
      <c r="J368" s="151">
        <v>1401995062</v>
      </c>
      <c r="K368" s="151">
        <v>2944412066</v>
      </c>
      <c r="L368" s="151">
        <v>2347767667</v>
      </c>
      <c r="M368" s="151">
        <v>2201852298</v>
      </c>
      <c r="N368" s="151">
        <v>3338202197</v>
      </c>
      <c r="O368" s="151">
        <v>6712761385</v>
      </c>
      <c r="P368" s="151">
        <v>6112910118</v>
      </c>
      <c r="Q368" s="151">
        <v>4502056419</v>
      </c>
      <c r="R368" s="151">
        <v>927777345</v>
      </c>
      <c r="S368" s="151">
        <v>7225118420</v>
      </c>
      <c r="T368" s="151">
        <v>6060239694</v>
      </c>
      <c r="U368" s="151">
        <v>1676908895</v>
      </c>
      <c r="V368" s="151">
        <v>2057154727</v>
      </c>
      <c r="W368" s="151">
        <v>1670424183</v>
      </c>
      <c r="X368" s="151">
        <v>9046036986</v>
      </c>
      <c r="Y368" s="151">
        <v>2735015572</v>
      </c>
      <c r="Z368" s="151">
        <v>2485350047</v>
      </c>
      <c r="AA368" s="151">
        <v>836261356</v>
      </c>
      <c r="AB368" s="151">
        <v>5115485922</v>
      </c>
      <c r="AC368" s="151">
        <v>2834921052</v>
      </c>
      <c r="AD368" s="151">
        <v>996407982</v>
      </c>
      <c r="AE368" s="151">
        <v>900072161</v>
      </c>
      <c r="AF368" s="151"/>
      <c r="AG368" s="151"/>
      <c r="AH368" s="151"/>
      <c r="AI368" s="151"/>
    </row>
    <row r="369" spans="2:35" x14ac:dyDescent="0.35">
      <c r="B369" s="9">
        <v>3</v>
      </c>
      <c r="C369" s="122" t="str">
        <f>'Option inputs'!$C$17</f>
        <v>Option 1C</v>
      </c>
      <c r="D369" s="62"/>
      <c r="E369" s="68" t="s">
        <v>35</v>
      </c>
      <c r="F369" s="151"/>
      <c r="G369" s="151">
        <v>848625087</v>
      </c>
      <c r="H369" s="151">
        <v>829907948</v>
      </c>
      <c r="I369" s="151">
        <v>821794285</v>
      </c>
      <c r="J369" s="151">
        <v>1396115046</v>
      </c>
      <c r="K369" s="151">
        <v>2914710492</v>
      </c>
      <c r="L369" s="151">
        <v>2353424973</v>
      </c>
      <c r="M369" s="151">
        <v>2223963334</v>
      </c>
      <c r="N369" s="151">
        <v>3350251547</v>
      </c>
      <c r="O369" s="151">
        <v>6720671788</v>
      </c>
      <c r="P369" s="151">
        <v>6110725507</v>
      </c>
      <c r="Q369" s="151">
        <v>4505733903</v>
      </c>
      <c r="R369" s="151">
        <v>927524111</v>
      </c>
      <c r="S369" s="151">
        <v>7224293189</v>
      </c>
      <c r="T369" s="151">
        <v>6055935258</v>
      </c>
      <c r="U369" s="151">
        <v>1688713922</v>
      </c>
      <c r="V369" s="151">
        <v>2054216563</v>
      </c>
      <c r="W369" s="151">
        <v>1666811643</v>
      </c>
      <c r="X369" s="151">
        <v>9048529160</v>
      </c>
      <c r="Y369" s="151">
        <v>2734149660</v>
      </c>
      <c r="Z369" s="151">
        <v>2485554561</v>
      </c>
      <c r="AA369" s="151">
        <v>836135970</v>
      </c>
      <c r="AB369" s="151">
        <v>5115061524</v>
      </c>
      <c r="AC369" s="151">
        <v>2834835644</v>
      </c>
      <c r="AD369" s="151">
        <v>996378051</v>
      </c>
      <c r="AE369" s="151">
        <v>900063066</v>
      </c>
      <c r="AF369" s="151"/>
      <c r="AG369" s="151"/>
      <c r="AH369" s="151"/>
      <c r="AI369" s="151"/>
    </row>
    <row r="370" spans="2:35" x14ac:dyDescent="0.35">
      <c r="B370" s="9">
        <v>4</v>
      </c>
      <c r="C370" s="122" t="str">
        <f>'Option inputs'!$C$18</f>
        <v>Option 2A</v>
      </c>
      <c r="D370" s="62"/>
      <c r="E370" s="68" t="s">
        <v>35</v>
      </c>
      <c r="F370" s="151"/>
      <c r="G370" s="151">
        <v>848633031</v>
      </c>
      <c r="H370" s="151">
        <v>829908337</v>
      </c>
      <c r="I370" s="151">
        <v>821799203</v>
      </c>
      <c r="J370" s="151">
        <v>1401486266</v>
      </c>
      <c r="K370" s="151">
        <v>3087991626</v>
      </c>
      <c r="L370" s="151">
        <v>2210878427</v>
      </c>
      <c r="M370" s="151">
        <v>2108726881</v>
      </c>
      <c r="N370" s="151">
        <v>3384224635</v>
      </c>
      <c r="O370" s="151">
        <v>6824812298</v>
      </c>
      <c r="P370" s="151">
        <v>6084695500</v>
      </c>
      <c r="Q370" s="151">
        <v>4871368628</v>
      </c>
      <c r="R370" s="151">
        <v>1083063230</v>
      </c>
      <c r="S370" s="151">
        <v>7049327975</v>
      </c>
      <c r="T370" s="151">
        <v>6026909744</v>
      </c>
      <c r="U370" s="151">
        <v>1932808316</v>
      </c>
      <c r="V370" s="151">
        <v>1796591645</v>
      </c>
      <c r="W370" s="151">
        <v>1949183461</v>
      </c>
      <c r="X370" s="151">
        <v>9506367888</v>
      </c>
      <c r="Y370" s="151">
        <v>2463250062</v>
      </c>
      <c r="Z370" s="151">
        <v>2316595354</v>
      </c>
      <c r="AA370" s="151">
        <v>984642077</v>
      </c>
      <c r="AB370" s="151">
        <v>4954101951</v>
      </c>
      <c r="AC370" s="151">
        <v>3038334488</v>
      </c>
      <c r="AD370" s="151">
        <v>970951968</v>
      </c>
      <c r="AE370" s="151">
        <v>874601314</v>
      </c>
      <c r="AF370" s="151"/>
      <c r="AG370" s="151"/>
      <c r="AH370" s="151"/>
      <c r="AI370" s="151"/>
    </row>
    <row r="371" spans="2:35" x14ac:dyDescent="0.35">
      <c r="B371" s="9">
        <v>5</v>
      </c>
      <c r="C371" s="122" t="str">
        <f>'Option inputs'!$C$19</f>
        <v>Option 2B</v>
      </c>
      <c r="D371" s="62"/>
      <c r="E371" s="68" t="s">
        <v>35</v>
      </c>
      <c r="F371" s="151"/>
      <c r="G371" s="151">
        <v>848695174</v>
      </c>
      <c r="H371" s="151">
        <v>829913641</v>
      </c>
      <c r="I371" s="151">
        <v>821817238</v>
      </c>
      <c r="J371" s="151">
        <v>1400422505</v>
      </c>
      <c r="K371" s="151">
        <v>3082102804</v>
      </c>
      <c r="L371" s="151">
        <v>2171451279</v>
      </c>
      <c r="M371" s="151">
        <v>2119214758</v>
      </c>
      <c r="N371" s="151">
        <v>3414502011</v>
      </c>
      <c r="O371" s="151">
        <v>6749067799</v>
      </c>
      <c r="P371" s="151">
        <v>6099170175</v>
      </c>
      <c r="Q371" s="151">
        <v>4582146819</v>
      </c>
      <c r="R371" s="151">
        <v>950098914</v>
      </c>
      <c r="S371" s="151">
        <v>7077649200</v>
      </c>
      <c r="T371" s="151">
        <v>5949271441</v>
      </c>
      <c r="U371" s="151">
        <v>1945555678</v>
      </c>
      <c r="V371" s="151">
        <v>1945718454</v>
      </c>
      <c r="W371" s="151">
        <v>1837835638</v>
      </c>
      <c r="X371" s="151">
        <v>9213745387</v>
      </c>
      <c r="Y371" s="151">
        <v>2483840511</v>
      </c>
      <c r="Z371" s="151">
        <v>2467817696</v>
      </c>
      <c r="AA371" s="151">
        <v>907094599</v>
      </c>
      <c r="AB371" s="151">
        <v>4939513154</v>
      </c>
      <c r="AC371" s="151">
        <v>3083836848</v>
      </c>
      <c r="AD371" s="151">
        <v>980617921</v>
      </c>
      <c r="AE371" s="151">
        <v>875847858</v>
      </c>
      <c r="AF371" s="151"/>
      <c r="AG371" s="151"/>
      <c r="AH371" s="151"/>
      <c r="AI371" s="151"/>
    </row>
    <row r="372" spans="2:35" x14ac:dyDescent="0.35">
      <c r="B372" s="9">
        <v>6</v>
      </c>
      <c r="C372" s="122" t="str">
        <f>'Option inputs'!$C$20</f>
        <v>Option 2C</v>
      </c>
      <c r="D372" s="62"/>
      <c r="E372" s="68" t="s">
        <v>35</v>
      </c>
      <c r="F372" s="151"/>
      <c r="G372" s="151">
        <v>848741285</v>
      </c>
      <c r="H372" s="151">
        <v>829916706</v>
      </c>
      <c r="I372" s="151">
        <v>821853643</v>
      </c>
      <c r="J372" s="151">
        <v>1406852421</v>
      </c>
      <c r="K372" s="151">
        <v>2830908638</v>
      </c>
      <c r="L372" s="151">
        <v>2400017647</v>
      </c>
      <c r="M372" s="151">
        <v>2088140825</v>
      </c>
      <c r="N372" s="151">
        <v>3445002199</v>
      </c>
      <c r="O372" s="151">
        <v>6736076132</v>
      </c>
      <c r="P372" s="151">
        <v>6108190313</v>
      </c>
      <c r="Q372" s="151">
        <v>4574832245</v>
      </c>
      <c r="R372" s="151">
        <v>950077393</v>
      </c>
      <c r="S372" s="151">
        <v>7077968017</v>
      </c>
      <c r="T372" s="151">
        <v>5948632254</v>
      </c>
      <c r="U372" s="151">
        <v>1945537403</v>
      </c>
      <c r="V372" s="151">
        <v>1945757766</v>
      </c>
      <c r="W372" s="151">
        <v>1837668602</v>
      </c>
      <c r="X372" s="151">
        <v>9213689902</v>
      </c>
      <c r="Y372" s="151">
        <v>2483903645</v>
      </c>
      <c r="Z372" s="151">
        <v>2467787789</v>
      </c>
      <c r="AA372" s="151">
        <v>907037520</v>
      </c>
      <c r="AB372" s="151">
        <v>4939516115</v>
      </c>
      <c r="AC372" s="151">
        <v>3083851644</v>
      </c>
      <c r="AD372" s="151">
        <v>980612281</v>
      </c>
      <c r="AE372" s="151">
        <v>875845621</v>
      </c>
      <c r="AF372" s="151"/>
      <c r="AG372" s="151"/>
      <c r="AH372" s="151"/>
      <c r="AI372" s="151"/>
    </row>
    <row r="373" spans="2:35" x14ac:dyDescent="0.35">
      <c r="B373" s="9">
        <v>7</v>
      </c>
      <c r="C373" s="122" t="str">
        <f>'Option inputs'!$C$21</f>
        <v>Option 3A</v>
      </c>
      <c r="D373" s="62"/>
      <c r="E373" s="68" t="s">
        <v>35</v>
      </c>
      <c r="F373" s="130"/>
      <c r="G373" s="130">
        <v>848635505</v>
      </c>
      <c r="H373" s="130">
        <v>829908471</v>
      </c>
      <c r="I373" s="130">
        <v>821800745</v>
      </c>
      <c r="J373" s="130">
        <v>1401040184</v>
      </c>
      <c r="K373" s="130">
        <v>3045757918</v>
      </c>
      <c r="L373" s="130">
        <v>2274809700</v>
      </c>
      <c r="M373" s="130">
        <v>2103535499</v>
      </c>
      <c r="N373" s="130">
        <v>3363106266</v>
      </c>
      <c r="O373" s="130">
        <v>6956986462</v>
      </c>
      <c r="P373" s="130">
        <v>5998371244</v>
      </c>
      <c r="Q373" s="130">
        <v>4983362277</v>
      </c>
      <c r="R373" s="130">
        <v>1217021808</v>
      </c>
      <c r="S373" s="130">
        <v>6912238894</v>
      </c>
      <c r="T373" s="130">
        <v>6155696623</v>
      </c>
      <c r="U373" s="130">
        <v>1683905581</v>
      </c>
      <c r="V373" s="130">
        <v>1687777687</v>
      </c>
      <c r="W373" s="130">
        <v>2062334440</v>
      </c>
      <c r="X373" s="130">
        <v>9450805037</v>
      </c>
      <c r="Y373" s="130">
        <v>2567825012</v>
      </c>
      <c r="Z373" s="130">
        <v>2377273040</v>
      </c>
      <c r="AA373" s="130">
        <v>949634706</v>
      </c>
      <c r="AB373" s="130">
        <v>4946207816</v>
      </c>
      <c r="AC373" s="130">
        <v>3066574087</v>
      </c>
      <c r="AD373" s="130">
        <v>967240980</v>
      </c>
      <c r="AE373" s="56">
        <v>868874265</v>
      </c>
      <c r="AF373" s="56"/>
      <c r="AG373" s="56"/>
      <c r="AH373" s="56"/>
      <c r="AI373" s="56"/>
    </row>
    <row r="374" spans="2:35" x14ac:dyDescent="0.35">
      <c r="B374" s="64">
        <f>+'Option inputs'!$B$22</f>
        <v>8</v>
      </c>
      <c r="C374" s="122" t="str">
        <f>'Option inputs'!$C$22</f>
        <v>Option 3B</v>
      </c>
      <c r="D374" s="62"/>
      <c r="E374" s="68" t="s">
        <v>35</v>
      </c>
      <c r="F374" s="130"/>
      <c r="G374" s="130">
        <v>848678487</v>
      </c>
      <c r="H374" s="130">
        <v>829913267</v>
      </c>
      <c r="I374" s="130">
        <v>821815565</v>
      </c>
      <c r="J374" s="130">
        <v>1401049843</v>
      </c>
      <c r="K374" s="130">
        <v>3023444764</v>
      </c>
      <c r="L374" s="130">
        <v>2252006921</v>
      </c>
      <c r="M374" s="130">
        <v>2116182951</v>
      </c>
      <c r="N374" s="130">
        <v>3397055387</v>
      </c>
      <c r="O374" s="130">
        <v>6771044874</v>
      </c>
      <c r="P374" s="130">
        <v>6081539064</v>
      </c>
      <c r="Q374" s="130">
        <v>4572917532</v>
      </c>
      <c r="R374" s="130">
        <v>926170724</v>
      </c>
      <c r="S374" s="130">
        <v>7072594417</v>
      </c>
      <c r="T374" s="130">
        <v>5971934118</v>
      </c>
      <c r="U374" s="130">
        <v>1941679026</v>
      </c>
      <c r="V374" s="130">
        <v>1961309369</v>
      </c>
      <c r="W374" s="130">
        <v>1832831923</v>
      </c>
      <c r="X374" s="130">
        <v>9217294533</v>
      </c>
      <c r="Y374" s="130">
        <v>2502355264</v>
      </c>
      <c r="Z374" s="130">
        <v>2461761386</v>
      </c>
      <c r="AA374" s="130">
        <v>903447892</v>
      </c>
      <c r="AB374" s="130">
        <v>4926609480</v>
      </c>
      <c r="AC374" s="130">
        <v>3081451532</v>
      </c>
      <c r="AD374" s="130">
        <v>978966197</v>
      </c>
      <c r="AE374" s="56">
        <v>875404790</v>
      </c>
      <c r="AF374" s="56"/>
      <c r="AG374" s="56"/>
      <c r="AH374" s="56"/>
      <c r="AI374" s="56"/>
    </row>
    <row r="375" spans="2:35" x14ac:dyDescent="0.35">
      <c r="B375" s="64">
        <f>+'Option inputs'!$B$23</f>
        <v>9</v>
      </c>
      <c r="C375" s="122" t="str">
        <f>'Option inputs'!$C$23</f>
        <v>Option 3C</v>
      </c>
      <c r="D375" s="62"/>
      <c r="E375" s="68" t="s">
        <v>35</v>
      </c>
      <c r="F375" s="130"/>
      <c r="G375" s="130">
        <v>848720851</v>
      </c>
      <c r="H375" s="130">
        <v>829916132</v>
      </c>
      <c r="I375" s="130">
        <v>821834124</v>
      </c>
      <c r="J375" s="130">
        <v>1401536369</v>
      </c>
      <c r="K375" s="130">
        <v>2984753085</v>
      </c>
      <c r="L375" s="130">
        <v>2252606745</v>
      </c>
      <c r="M375" s="130">
        <v>2108585104</v>
      </c>
      <c r="N375" s="130">
        <v>3441825121</v>
      </c>
      <c r="O375" s="130">
        <v>6738440242</v>
      </c>
      <c r="P375" s="130">
        <v>6092795901</v>
      </c>
      <c r="Q375" s="130">
        <v>4567890038</v>
      </c>
      <c r="R375" s="130">
        <v>926015702</v>
      </c>
      <c r="S375" s="130">
        <v>7072856746</v>
      </c>
      <c r="T375" s="130">
        <v>5973316708</v>
      </c>
      <c r="U375" s="130">
        <v>1942067258</v>
      </c>
      <c r="V375" s="130">
        <v>1961322829</v>
      </c>
      <c r="W375" s="130">
        <v>1832294461</v>
      </c>
      <c r="X375" s="130">
        <v>9217889717</v>
      </c>
      <c r="Y375" s="130">
        <v>2502107678</v>
      </c>
      <c r="Z375" s="130">
        <v>2461753196</v>
      </c>
      <c r="AA375" s="130">
        <v>903430183</v>
      </c>
      <c r="AB375" s="130">
        <v>4926619696</v>
      </c>
      <c r="AC375" s="130">
        <v>3081394219</v>
      </c>
      <c r="AD375" s="130">
        <v>979010740</v>
      </c>
      <c r="AE375" s="56">
        <v>875410641</v>
      </c>
      <c r="AF375" s="56"/>
      <c r="AG375" s="56"/>
      <c r="AH375" s="56"/>
      <c r="AI375" s="56"/>
    </row>
    <row r="376" spans="2:35" x14ac:dyDescent="0.35">
      <c r="B376" s="64">
        <f>+'Option inputs'!$B$24</f>
        <v>10</v>
      </c>
      <c r="C376" s="122" t="str">
        <f>'Option inputs'!$C$24</f>
        <v>Option 4A</v>
      </c>
      <c r="D376" s="62"/>
      <c r="E376" s="68" t="s">
        <v>35</v>
      </c>
      <c r="F376" s="130"/>
      <c r="G376" s="130">
        <v>848727424</v>
      </c>
      <c r="H376" s="130">
        <v>829916676</v>
      </c>
      <c r="I376" s="130">
        <v>821839620</v>
      </c>
      <c r="J376" s="130">
        <v>1401142872</v>
      </c>
      <c r="K376" s="130">
        <v>3045692475</v>
      </c>
      <c r="L376" s="130">
        <v>2240040610</v>
      </c>
      <c r="M376" s="130">
        <v>2110543414</v>
      </c>
      <c r="N376" s="130">
        <v>3384945037</v>
      </c>
      <c r="O376" s="130">
        <v>6919675932</v>
      </c>
      <c r="P376" s="130">
        <v>6020503007</v>
      </c>
      <c r="Q376" s="130">
        <v>4952881731</v>
      </c>
      <c r="R376" s="130">
        <v>1220897001</v>
      </c>
      <c r="S376" s="130">
        <v>6906110813</v>
      </c>
      <c r="T376" s="130">
        <v>6103386937</v>
      </c>
      <c r="U376" s="130">
        <v>1794051505</v>
      </c>
      <c r="V376" s="130">
        <v>1686134222</v>
      </c>
      <c r="W376" s="130">
        <v>2000948964</v>
      </c>
      <c r="X376" s="130">
        <v>9374609592</v>
      </c>
      <c r="Y376" s="130">
        <v>2561597481</v>
      </c>
      <c r="Z376" s="130">
        <v>2387215328</v>
      </c>
      <c r="AA376" s="130">
        <v>915180582</v>
      </c>
      <c r="AB376" s="130">
        <v>4949351406</v>
      </c>
      <c r="AC376" s="130">
        <v>3074949430</v>
      </c>
      <c r="AD376" s="130">
        <v>968148467</v>
      </c>
      <c r="AE376" s="56">
        <v>865741066</v>
      </c>
      <c r="AF376" s="56"/>
      <c r="AG376" s="56"/>
      <c r="AH376" s="56"/>
      <c r="AI376" s="56"/>
    </row>
    <row r="377" spans="2:35" x14ac:dyDescent="0.35">
      <c r="B377" s="64">
        <f>+'Option inputs'!$B$25</f>
        <v>11</v>
      </c>
      <c r="C377" s="122" t="str">
        <f>'Option inputs'!$C$25</f>
        <v>Option 4B</v>
      </c>
      <c r="D377" s="62"/>
      <c r="E377" s="68" t="s">
        <v>35</v>
      </c>
      <c r="F377" s="130"/>
      <c r="G377" s="130">
        <v>848689492</v>
      </c>
      <c r="H377" s="130">
        <v>829914946</v>
      </c>
      <c r="I377" s="130">
        <v>821811800</v>
      </c>
      <c r="J377" s="130">
        <v>1401088136</v>
      </c>
      <c r="K377" s="130">
        <v>3028423802</v>
      </c>
      <c r="L377" s="130">
        <v>2209557624</v>
      </c>
      <c r="M377" s="130">
        <v>2120828030</v>
      </c>
      <c r="N377" s="130">
        <v>3432855979</v>
      </c>
      <c r="O377" s="130">
        <v>6720152823</v>
      </c>
      <c r="P377" s="130">
        <v>5936325274</v>
      </c>
      <c r="Q377" s="130">
        <v>4732592233</v>
      </c>
      <c r="R377" s="130">
        <v>795554509</v>
      </c>
      <c r="S377" s="130">
        <v>7066447060</v>
      </c>
      <c r="T377" s="130">
        <v>5806811979</v>
      </c>
      <c r="U377" s="130">
        <v>1915959595</v>
      </c>
      <c r="V377" s="130">
        <v>2080357016</v>
      </c>
      <c r="W377" s="130">
        <v>1763074349</v>
      </c>
      <c r="X377" s="130">
        <v>9285133020</v>
      </c>
      <c r="Y377" s="130">
        <v>2474031807</v>
      </c>
      <c r="Z377" s="130">
        <v>2450713783</v>
      </c>
      <c r="AA377" s="130">
        <v>899461799</v>
      </c>
      <c r="AB377" s="130">
        <v>4919311181</v>
      </c>
      <c r="AC377" s="130">
        <v>3021616286</v>
      </c>
      <c r="AD377" s="130">
        <v>996676972</v>
      </c>
      <c r="AE377" s="56">
        <v>889327248</v>
      </c>
      <c r="AF377" s="56"/>
      <c r="AG377" s="56"/>
      <c r="AH377" s="56"/>
      <c r="AI377" s="56"/>
    </row>
    <row r="378" spans="2:35" x14ac:dyDescent="0.35">
      <c r="B378" s="64">
        <f>+'Option inputs'!$B$26</f>
        <v>12</v>
      </c>
      <c r="C378" s="122" t="str">
        <f>'Option inputs'!$C$26</f>
        <v>Option 4C</v>
      </c>
      <c r="D378" s="62"/>
      <c r="E378" s="68" t="s">
        <v>35</v>
      </c>
      <c r="F378" s="130"/>
      <c r="G378" s="130">
        <v>848679416</v>
      </c>
      <c r="H378" s="130">
        <v>829910680</v>
      </c>
      <c r="I378" s="130">
        <v>821828246</v>
      </c>
      <c r="J378" s="130">
        <v>1401487508</v>
      </c>
      <c r="K378" s="130">
        <v>2984508726</v>
      </c>
      <c r="L378" s="130">
        <v>2218985073</v>
      </c>
      <c r="M378" s="130">
        <v>2115347696</v>
      </c>
      <c r="N378" s="130">
        <v>3471718928</v>
      </c>
      <c r="O378" s="130">
        <v>6695893306</v>
      </c>
      <c r="P378" s="130">
        <v>5939733057</v>
      </c>
      <c r="Q378" s="130">
        <v>4730684875</v>
      </c>
      <c r="R378" s="130">
        <v>795557933</v>
      </c>
      <c r="S378" s="130">
        <v>7066197192</v>
      </c>
      <c r="T378" s="130">
        <v>5806933602</v>
      </c>
      <c r="U378" s="130">
        <v>1916170867</v>
      </c>
      <c r="V378" s="130">
        <v>2080414474</v>
      </c>
      <c r="W378" s="130">
        <v>1762802611</v>
      </c>
      <c r="X378" s="130">
        <v>9284938355</v>
      </c>
      <c r="Y378" s="130">
        <v>2474114672</v>
      </c>
      <c r="Z378" s="130">
        <v>2450740580</v>
      </c>
      <c r="AA378" s="130">
        <v>899419002</v>
      </c>
      <c r="AB378" s="130">
        <v>4919309244</v>
      </c>
      <c r="AC378" s="130">
        <v>3021596975</v>
      </c>
      <c r="AD378" s="130">
        <v>996635584</v>
      </c>
      <c r="AE378" s="56">
        <v>889374399</v>
      </c>
      <c r="AF378" s="56"/>
      <c r="AG378" s="56"/>
      <c r="AH378" s="56"/>
      <c r="AI378" s="56"/>
    </row>
  </sheetData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9EC0DB"/>
  </sheetPr>
  <dimension ref="A1:BV232"/>
  <sheetViews>
    <sheetView showGridLines="0" zoomScale="80" zoomScaleNormal="80" workbookViewId="0">
      <selection activeCell="G67" sqref="G67"/>
    </sheetView>
  </sheetViews>
  <sheetFormatPr defaultRowHeight="15.5" x14ac:dyDescent="0.35"/>
  <cols>
    <col min="1" max="1" width="5.69140625" customWidth="1"/>
    <col min="3" max="3" width="12.23046875" style="29" customWidth="1"/>
    <col min="4" max="4" width="20.84375" style="29" customWidth="1"/>
    <col min="6" max="6" width="13.84375" bestFit="1" customWidth="1"/>
    <col min="7" max="7" width="14.4609375" customWidth="1"/>
    <col min="8" max="37" width="13.69140625" customWidth="1"/>
    <col min="38" max="38" width="10.53515625" bestFit="1" customWidth="1"/>
    <col min="39" max="39" width="9" customWidth="1"/>
    <col min="40" max="40" width="12.69140625" bestFit="1" customWidth="1"/>
    <col min="41" max="41" width="17.84375" bestFit="1" customWidth="1"/>
    <col min="42" max="42" width="5.765625" bestFit="1" customWidth="1"/>
    <col min="43" max="43" width="11.69140625" bestFit="1" customWidth="1"/>
    <col min="44" max="73" width="10.3046875" bestFit="1" customWidth="1"/>
    <col min="74" max="74" width="11.3046875" bestFit="1" customWidth="1"/>
  </cols>
  <sheetData>
    <row r="1" spans="2:36" ht="18" x14ac:dyDescent="0.4">
      <c r="B1" s="3" t="str">
        <f ca="1">MID(CELL("filename",B2),FIND("]",CELL("filename",B2))+1,256)</f>
        <v>Calculation</v>
      </c>
    </row>
    <row r="2" spans="2:36" x14ac:dyDescent="0.35">
      <c r="B2" s="4" t="s">
        <v>48</v>
      </c>
      <c r="F2" s="31"/>
    </row>
    <row r="3" spans="2:36" x14ac:dyDescent="0.35">
      <c r="F3" s="186"/>
    </row>
    <row r="4" spans="2:36" ht="21" x14ac:dyDescent="0.5">
      <c r="B4" s="6" t="s">
        <v>52</v>
      </c>
      <c r="C4" s="30"/>
      <c r="D4" s="30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</row>
    <row r="5" spans="2:36" x14ac:dyDescent="0.35">
      <c r="F5" s="134"/>
    </row>
    <row r="6" spans="2:36" x14ac:dyDescent="0.35">
      <c r="B6" s="5" t="s">
        <v>36</v>
      </c>
      <c r="C6" s="28"/>
      <c r="D6" s="28"/>
      <c r="E6" s="11"/>
      <c r="F6" s="11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2:36" x14ac:dyDescent="0.35">
      <c r="B7" s="7" t="s">
        <v>14</v>
      </c>
      <c r="C7" s="10" t="s">
        <v>13</v>
      </c>
      <c r="D7" s="10"/>
      <c r="E7" s="8" t="s">
        <v>22</v>
      </c>
      <c r="F7" s="8" t="s">
        <v>38</v>
      </c>
      <c r="G7" s="13" t="str">
        <f>G$56</f>
        <v>FY 2019-20</v>
      </c>
      <c r="H7" s="13" t="str">
        <f t="shared" ref="H7:AJ7" si="0">H$56</f>
        <v>FY 2020-21</v>
      </c>
      <c r="I7" s="13" t="str">
        <f t="shared" si="0"/>
        <v>FY 2021-22</v>
      </c>
      <c r="J7" s="13" t="str">
        <f t="shared" si="0"/>
        <v>FY 2022-23</v>
      </c>
      <c r="K7" s="13" t="str">
        <f t="shared" si="0"/>
        <v>FY 2023-24</v>
      </c>
      <c r="L7" s="13" t="str">
        <f t="shared" si="0"/>
        <v>FY 2024-25</v>
      </c>
      <c r="M7" s="13" t="str">
        <f t="shared" si="0"/>
        <v>FY 2025-26</v>
      </c>
      <c r="N7" s="13" t="str">
        <f t="shared" si="0"/>
        <v>FY 2026-27</v>
      </c>
      <c r="O7" s="13" t="str">
        <f t="shared" si="0"/>
        <v>FY 2027-28</v>
      </c>
      <c r="P7" s="13" t="str">
        <f t="shared" si="0"/>
        <v>FY 2028-29</v>
      </c>
      <c r="Q7" s="13" t="str">
        <f t="shared" si="0"/>
        <v>FY 2029-30</v>
      </c>
      <c r="R7" s="13" t="str">
        <f t="shared" si="0"/>
        <v>FY 2030-31</v>
      </c>
      <c r="S7" s="13" t="str">
        <f t="shared" si="0"/>
        <v>FY 2031-32</v>
      </c>
      <c r="T7" s="13" t="str">
        <f t="shared" si="0"/>
        <v>FY 2032-33</v>
      </c>
      <c r="U7" s="13" t="str">
        <f t="shared" si="0"/>
        <v>FY 2033-34</v>
      </c>
      <c r="V7" s="13" t="str">
        <f t="shared" si="0"/>
        <v>FY 2034-35</v>
      </c>
      <c r="W7" s="13" t="str">
        <f t="shared" si="0"/>
        <v>FY 2035-36</v>
      </c>
      <c r="X7" s="13" t="str">
        <f t="shared" si="0"/>
        <v>FY 2036-37</v>
      </c>
      <c r="Y7" s="13" t="str">
        <f t="shared" si="0"/>
        <v>FY 2037-38</v>
      </c>
      <c r="Z7" s="13" t="str">
        <f t="shared" si="0"/>
        <v>FY 2038-39</v>
      </c>
      <c r="AA7" s="13" t="str">
        <f t="shared" si="0"/>
        <v>FY 2039-40</v>
      </c>
      <c r="AB7" s="13" t="str">
        <f t="shared" si="0"/>
        <v>FY 2040-41</v>
      </c>
      <c r="AC7" s="13" t="str">
        <f t="shared" si="0"/>
        <v>FY 2041-42</v>
      </c>
      <c r="AD7" s="13" t="str">
        <f t="shared" si="0"/>
        <v>FY 2042-43</v>
      </c>
      <c r="AE7" s="13" t="str">
        <f t="shared" si="0"/>
        <v>FY 2043-44</v>
      </c>
      <c r="AF7" s="13" t="str">
        <f t="shared" si="0"/>
        <v>FY 2044-45</v>
      </c>
      <c r="AG7" s="13" t="str">
        <f t="shared" si="0"/>
        <v>FY 2045-46</v>
      </c>
      <c r="AH7" s="13" t="str">
        <f t="shared" si="0"/>
        <v>FY 2046-47</v>
      </c>
      <c r="AI7" s="13" t="str">
        <f t="shared" si="0"/>
        <v>FY 2047-48</v>
      </c>
      <c r="AJ7" s="13" t="str">
        <f t="shared" si="0"/>
        <v>FY 2048-49</v>
      </c>
    </row>
    <row r="8" spans="2:36" x14ac:dyDescent="0.35">
      <c r="B8" s="9">
        <f>+'Option inputs'!$B$15</f>
        <v>1</v>
      </c>
      <c r="C8" s="14" t="str">
        <f>+'Option inputs'!$C$15</f>
        <v>Option 1A</v>
      </c>
      <c r="D8" s="26"/>
      <c r="E8" s="12" t="s">
        <v>35</v>
      </c>
      <c r="F8" s="23">
        <f t="shared" ref="F8:F19" si="1">NPV(DiscountRate_ACTIVE,G8:AJ8)/(1+DiscountRate_ACTIVE)^(FirstYear-BaseYear-1)</f>
        <v>333648454.02316904</v>
      </c>
      <c r="G8" s="22">
        <f t="shared" ref="G8:P19" si="2">SUMIF($C$127:$C$232,$C8,G$127:G$232)</f>
        <v>0</v>
      </c>
      <c r="H8" s="22">
        <f t="shared" si="2"/>
        <v>-198740540</v>
      </c>
      <c r="I8" s="22">
        <f t="shared" si="2"/>
        <v>-198736847</v>
      </c>
      <c r="J8" s="22">
        <f t="shared" si="2"/>
        <v>-198758304</v>
      </c>
      <c r="K8" s="22">
        <f t="shared" si="2"/>
        <v>90519706</v>
      </c>
      <c r="L8" s="22">
        <f t="shared" si="2"/>
        <v>468014198</v>
      </c>
      <c r="M8" s="22">
        <f t="shared" si="2"/>
        <v>5208460</v>
      </c>
      <c r="N8" s="22">
        <f t="shared" si="2"/>
        <v>35458119</v>
      </c>
      <c r="O8" s="22">
        <f t="shared" si="2"/>
        <v>-72556148</v>
      </c>
      <c r="P8" s="22">
        <f t="shared" si="2"/>
        <v>323317415</v>
      </c>
      <c r="Q8" s="22">
        <f t="shared" ref="Q8:Z19" si="3">SUMIF($C$127:$C$232,$C8,Q$127:Q$232)</f>
        <v>510973308</v>
      </c>
      <c r="R8" s="22">
        <f t="shared" si="3"/>
        <v>-68196545</v>
      </c>
      <c r="S8" s="22">
        <f t="shared" si="3"/>
        <v>-292725672</v>
      </c>
      <c r="T8" s="22">
        <f t="shared" si="3"/>
        <v>-68096158</v>
      </c>
      <c r="U8" s="22">
        <f t="shared" si="3"/>
        <v>18041911</v>
      </c>
      <c r="V8" s="22">
        <f t="shared" si="3"/>
        <v>11817504</v>
      </c>
      <c r="W8" s="22">
        <f t="shared" si="3"/>
        <v>-211553550</v>
      </c>
      <c r="X8" s="22">
        <f t="shared" si="3"/>
        <v>171528673</v>
      </c>
      <c r="Y8" s="22">
        <f t="shared" si="3"/>
        <v>-40902385</v>
      </c>
      <c r="Z8" s="22">
        <f t="shared" si="3"/>
        <v>88466252</v>
      </c>
      <c r="AA8" s="22">
        <f t="shared" ref="AA8:AJ19" si="4">SUMIF($C$127:$C$232,$C8,AA$127:AA$232)</f>
        <v>7584577</v>
      </c>
      <c r="AB8" s="22">
        <f t="shared" si="4"/>
        <v>8411816</v>
      </c>
      <c r="AC8" s="22">
        <f t="shared" si="4"/>
        <v>153663620</v>
      </c>
      <c r="AD8" s="22">
        <f t="shared" si="4"/>
        <v>28225193</v>
      </c>
      <c r="AE8" s="22">
        <f t="shared" si="4"/>
        <v>61392605</v>
      </c>
      <c r="AF8" s="22">
        <f t="shared" si="4"/>
        <v>484925684</v>
      </c>
      <c r="AG8" s="22">
        <f t="shared" si="4"/>
        <v>0</v>
      </c>
      <c r="AH8" s="22">
        <f t="shared" si="4"/>
        <v>0</v>
      </c>
      <c r="AI8" s="22">
        <f t="shared" si="4"/>
        <v>0</v>
      </c>
      <c r="AJ8" s="22">
        <f t="shared" si="4"/>
        <v>0</v>
      </c>
    </row>
    <row r="9" spans="2:36" x14ac:dyDescent="0.35">
      <c r="B9" s="9">
        <f>+'Option inputs'!$B$16</f>
        <v>2</v>
      </c>
      <c r="C9" s="14" t="str">
        <f>+'Option inputs'!$C$16</f>
        <v>Option 1B</v>
      </c>
      <c r="D9" s="26"/>
      <c r="E9" s="12" t="s">
        <v>35</v>
      </c>
      <c r="F9" s="23">
        <f t="shared" si="1"/>
        <v>539815381.44109583</v>
      </c>
      <c r="G9" s="22">
        <f t="shared" si="2"/>
        <v>0</v>
      </c>
      <c r="H9" s="22">
        <f t="shared" si="2"/>
        <v>-239185678</v>
      </c>
      <c r="I9" s="22">
        <f t="shared" si="2"/>
        <v>-239226692</v>
      </c>
      <c r="J9" s="22">
        <f t="shared" si="2"/>
        <v>-239222535</v>
      </c>
      <c r="K9" s="22">
        <f t="shared" si="2"/>
        <v>56193684</v>
      </c>
      <c r="L9" s="22">
        <f t="shared" si="2"/>
        <v>460320289</v>
      </c>
      <c r="M9" s="22">
        <f t="shared" si="2"/>
        <v>5662078</v>
      </c>
      <c r="N9" s="22">
        <f t="shared" si="2"/>
        <v>39903563</v>
      </c>
      <c r="O9" s="22">
        <f t="shared" si="2"/>
        <v>-132689817</v>
      </c>
      <c r="P9" s="22">
        <f t="shared" si="2"/>
        <v>274014435</v>
      </c>
      <c r="Q9" s="22">
        <f t="shared" si="3"/>
        <v>1438494945</v>
      </c>
      <c r="R9" s="22">
        <f t="shared" si="3"/>
        <v>-997146795</v>
      </c>
      <c r="S9" s="22">
        <f t="shared" si="3"/>
        <v>783682018</v>
      </c>
      <c r="T9" s="22">
        <f t="shared" si="3"/>
        <v>-502805892</v>
      </c>
      <c r="U9" s="22">
        <f t="shared" si="3"/>
        <v>-106093958</v>
      </c>
      <c r="V9" s="22">
        <f t="shared" si="3"/>
        <v>51153821</v>
      </c>
      <c r="W9" s="22">
        <f t="shared" si="3"/>
        <v>-232957824</v>
      </c>
      <c r="X9" s="22">
        <f t="shared" si="3"/>
        <v>177265533</v>
      </c>
      <c r="Y9" s="22">
        <f t="shared" si="3"/>
        <v>-235535452</v>
      </c>
      <c r="Z9" s="22">
        <f t="shared" si="3"/>
        <v>211142387</v>
      </c>
      <c r="AA9" s="22">
        <f t="shared" si="4"/>
        <v>70390479</v>
      </c>
      <c r="AB9" s="22">
        <f t="shared" si="4"/>
        <v>85927813</v>
      </c>
      <c r="AC9" s="22">
        <f t="shared" si="4"/>
        <v>93193037</v>
      </c>
      <c r="AD9" s="22">
        <f t="shared" si="4"/>
        <v>105864570</v>
      </c>
      <c r="AE9" s="22">
        <f t="shared" si="4"/>
        <v>146461023</v>
      </c>
      <c r="AF9" s="22">
        <f t="shared" si="4"/>
        <v>710367171</v>
      </c>
      <c r="AG9" s="22">
        <f t="shared" si="4"/>
        <v>0</v>
      </c>
      <c r="AH9" s="22">
        <f t="shared" si="4"/>
        <v>0</v>
      </c>
      <c r="AI9" s="22">
        <f t="shared" si="4"/>
        <v>0</v>
      </c>
      <c r="AJ9" s="22">
        <f t="shared" si="4"/>
        <v>0</v>
      </c>
    </row>
    <row r="10" spans="2:36" x14ac:dyDescent="0.35">
      <c r="B10" s="9">
        <f>+'Option inputs'!$B$17</f>
        <v>3</v>
      </c>
      <c r="C10" s="14" t="str">
        <f>+'Option inputs'!$C$17</f>
        <v>Option 1C</v>
      </c>
      <c r="D10" s="26"/>
      <c r="E10" s="12" t="s">
        <v>35</v>
      </c>
      <c r="F10" s="23">
        <f t="shared" si="1"/>
        <v>451576298.86493337</v>
      </c>
      <c r="G10" s="22">
        <f t="shared" si="2"/>
        <v>0</v>
      </c>
      <c r="H10" s="22">
        <f t="shared" si="2"/>
        <v>-264989490</v>
      </c>
      <c r="I10" s="22">
        <f t="shared" si="2"/>
        <v>-264997324</v>
      </c>
      <c r="J10" s="22">
        <f t="shared" si="2"/>
        <v>-264992646</v>
      </c>
      <c r="K10" s="22">
        <f t="shared" si="2"/>
        <v>-279808615</v>
      </c>
      <c r="L10" s="22">
        <f t="shared" si="2"/>
        <v>413791662</v>
      </c>
      <c r="M10" s="22">
        <f t="shared" si="2"/>
        <v>28703155</v>
      </c>
      <c r="N10" s="22">
        <f t="shared" si="2"/>
        <v>56669377</v>
      </c>
      <c r="O10" s="22">
        <f t="shared" si="2"/>
        <v>-54490281</v>
      </c>
      <c r="P10" s="22">
        <f t="shared" si="2"/>
        <v>387785157</v>
      </c>
      <c r="Q10" s="22">
        <f t="shared" si="3"/>
        <v>1616892665</v>
      </c>
      <c r="R10" s="22">
        <f t="shared" si="3"/>
        <v>-917956884</v>
      </c>
      <c r="S10" s="22">
        <f t="shared" si="3"/>
        <v>783024019</v>
      </c>
      <c r="T10" s="22">
        <f t="shared" si="3"/>
        <v>-502624539</v>
      </c>
      <c r="U10" s="22">
        <f t="shared" si="3"/>
        <v>-105798257</v>
      </c>
      <c r="V10" s="22">
        <f t="shared" si="3"/>
        <v>51177917</v>
      </c>
      <c r="W10" s="22">
        <f t="shared" si="3"/>
        <v>-232488829</v>
      </c>
      <c r="X10" s="22">
        <f t="shared" si="3"/>
        <v>177315473</v>
      </c>
      <c r="Y10" s="22">
        <f t="shared" si="3"/>
        <v>-235600089</v>
      </c>
      <c r="Z10" s="22">
        <f t="shared" si="3"/>
        <v>210968942</v>
      </c>
      <c r="AA10" s="22">
        <f t="shared" si="4"/>
        <v>70686598</v>
      </c>
      <c r="AB10" s="22">
        <f t="shared" si="4"/>
        <v>86039312</v>
      </c>
      <c r="AC10" s="22">
        <f t="shared" si="4"/>
        <v>93528352</v>
      </c>
      <c r="AD10" s="22">
        <f t="shared" si="4"/>
        <v>106047211</v>
      </c>
      <c r="AE10" s="22">
        <f t="shared" si="4"/>
        <v>146555208</v>
      </c>
      <c r="AF10" s="22">
        <f t="shared" si="4"/>
        <v>689196038</v>
      </c>
      <c r="AG10" s="22">
        <f t="shared" si="4"/>
        <v>0</v>
      </c>
      <c r="AH10" s="22">
        <f t="shared" si="4"/>
        <v>0</v>
      </c>
      <c r="AI10" s="22">
        <f t="shared" si="4"/>
        <v>0</v>
      </c>
      <c r="AJ10" s="22">
        <f t="shared" si="4"/>
        <v>0</v>
      </c>
    </row>
    <row r="11" spans="2:36" x14ac:dyDescent="0.35">
      <c r="B11" s="9">
        <f>+'Option inputs'!$B$18</f>
        <v>4</v>
      </c>
      <c r="C11" s="14" t="str">
        <f>+'Option inputs'!$C$18</f>
        <v>Option 2A</v>
      </c>
      <c r="D11" s="26"/>
      <c r="E11" s="12" t="s">
        <v>35</v>
      </c>
      <c r="F11" s="23">
        <f t="shared" si="1"/>
        <v>762794109.35910845</v>
      </c>
      <c r="G11" s="22">
        <f t="shared" si="2"/>
        <v>0</v>
      </c>
      <c r="H11" s="22">
        <f t="shared" si="2"/>
        <v>-311260108</v>
      </c>
      <c r="I11" s="22">
        <f t="shared" si="2"/>
        <v>-311246175</v>
      </c>
      <c r="J11" s="22">
        <f t="shared" si="2"/>
        <v>-311262449</v>
      </c>
      <c r="K11" s="22">
        <f t="shared" si="2"/>
        <v>133379321</v>
      </c>
      <c r="L11" s="22">
        <f t="shared" si="2"/>
        <v>616976972</v>
      </c>
      <c r="M11" s="22">
        <f t="shared" si="2"/>
        <v>-8061470</v>
      </c>
      <c r="N11" s="22">
        <f t="shared" si="2"/>
        <v>27023901</v>
      </c>
      <c r="O11" s="22">
        <f t="shared" si="2"/>
        <v>-76459154</v>
      </c>
      <c r="P11" s="22">
        <f t="shared" si="2"/>
        <v>334978376</v>
      </c>
      <c r="Q11" s="22">
        <f t="shared" si="3"/>
        <v>748507929</v>
      </c>
      <c r="R11" s="22">
        <f t="shared" si="3"/>
        <v>-462112224</v>
      </c>
      <c r="S11" s="22">
        <f t="shared" si="3"/>
        <v>5803960</v>
      </c>
      <c r="T11" s="22">
        <f t="shared" si="3"/>
        <v>97446647</v>
      </c>
      <c r="U11" s="22">
        <f t="shared" si="3"/>
        <v>-51350889</v>
      </c>
      <c r="V11" s="22">
        <f t="shared" si="3"/>
        <v>-71078185</v>
      </c>
      <c r="W11" s="22">
        <f t="shared" si="3"/>
        <v>21442033</v>
      </c>
      <c r="X11" s="22">
        <f t="shared" si="3"/>
        <v>218483107</v>
      </c>
      <c r="Y11" s="22">
        <f t="shared" si="3"/>
        <v>-1150558543</v>
      </c>
      <c r="Z11" s="22">
        <f t="shared" si="3"/>
        <v>386159390</v>
      </c>
      <c r="AA11" s="22">
        <f t="shared" si="4"/>
        <v>509437100</v>
      </c>
      <c r="AB11" s="22">
        <f t="shared" si="4"/>
        <v>456089509</v>
      </c>
      <c r="AC11" s="22">
        <f t="shared" si="4"/>
        <v>332954683</v>
      </c>
      <c r="AD11" s="22">
        <f t="shared" si="4"/>
        <v>306090521</v>
      </c>
      <c r="AE11" s="22">
        <f t="shared" si="4"/>
        <v>528040573</v>
      </c>
      <c r="AF11" s="22">
        <f t="shared" si="4"/>
        <v>1138985334</v>
      </c>
      <c r="AG11" s="22">
        <f t="shared" si="4"/>
        <v>0</v>
      </c>
      <c r="AH11" s="22">
        <f t="shared" si="4"/>
        <v>0</v>
      </c>
      <c r="AI11" s="22">
        <f t="shared" si="4"/>
        <v>0</v>
      </c>
      <c r="AJ11" s="22">
        <f t="shared" si="4"/>
        <v>0</v>
      </c>
    </row>
    <row r="12" spans="2:36" x14ac:dyDescent="0.35">
      <c r="B12" s="9">
        <f>+'Option inputs'!$B$19</f>
        <v>5</v>
      </c>
      <c r="C12" s="14" t="str">
        <f>+'Option inputs'!$C$19</f>
        <v>Option 2B</v>
      </c>
      <c r="D12" s="26"/>
      <c r="E12" s="12" t="s">
        <v>35</v>
      </c>
      <c r="F12" s="23">
        <f t="shared" si="1"/>
        <v>952860883.77115726</v>
      </c>
      <c r="G12" s="22">
        <f t="shared" si="2"/>
        <v>0</v>
      </c>
      <c r="H12" s="22">
        <f t="shared" si="2"/>
        <v>-355744922</v>
      </c>
      <c r="I12" s="22">
        <f t="shared" si="2"/>
        <v>-355743770</v>
      </c>
      <c r="J12" s="22">
        <f t="shared" si="2"/>
        <v>-355750037</v>
      </c>
      <c r="K12" s="22">
        <f t="shared" si="2"/>
        <v>127427206</v>
      </c>
      <c r="L12" s="22">
        <f t="shared" si="2"/>
        <v>624597561</v>
      </c>
      <c r="M12" s="22">
        <f t="shared" si="2"/>
        <v>-8891085</v>
      </c>
      <c r="N12" s="22">
        <f t="shared" si="2"/>
        <v>27488449</v>
      </c>
      <c r="O12" s="22">
        <f t="shared" si="2"/>
        <v>-181555655</v>
      </c>
      <c r="P12" s="22">
        <f t="shared" si="2"/>
        <v>232683143</v>
      </c>
      <c r="Q12" s="22">
        <f t="shared" si="3"/>
        <v>1058240227</v>
      </c>
      <c r="R12" s="22">
        <f t="shared" si="3"/>
        <v>-808523242</v>
      </c>
      <c r="S12" s="22">
        <f t="shared" si="3"/>
        <v>850296886</v>
      </c>
      <c r="T12" s="22">
        <f t="shared" si="3"/>
        <v>-155175638</v>
      </c>
      <c r="U12" s="22">
        <f t="shared" si="3"/>
        <v>-133437844</v>
      </c>
      <c r="V12" s="22">
        <f t="shared" si="3"/>
        <v>78221293</v>
      </c>
      <c r="W12" s="22">
        <f t="shared" si="3"/>
        <v>-340818656</v>
      </c>
      <c r="X12" s="22">
        <f t="shared" si="3"/>
        <v>301678915</v>
      </c>
      <c r="Y12" s="22">
        <f t="shared" si="3"/>
        <v>-1035443191</v>
      </c>
      <c r="Z12" s="22">
        <f t="shared" si="3"/>
        <v>365908288</v>
      </c>
      <c r="AA12" s="22">
        <f t="shared" si="4"/>
        <v>466517308</v>
      </c>
      <c r="AB12" s="22">
        <f t="shared" si="4"/>
        <v>565237492</v>
      </c>
      <c r="AC12" s="22">
        <f t="shared" si="4"/>
        <v>493725196</v>
      </c>
      <c r="AD12" s="22">
        <f t="shared" si="4"/>
        <v>361053683</v>
      </c>
      <c r="AE12" s="22">
        <f t="shared" si="4"/>
        <v>664593933</v>
      </c>
      <c r="AF12" s="22">
        <f t="shared" si="4"/>
        <v>1474915066</v>
      </c>
      <c r="AG12" s="22">
        <f t="shared" si="4"/>
        <v>0</v>
      </c>
      <c r="AH12" s="22">
        <f t="shared" si="4"/>
        <v>0</v>
      </c>
      <c r="AI12" s="22">
        <f t="shared" si="4"/>
        <v>0</v>
      </c>
      <c r="AJ12" s="22">
        <f t="shared" si="4"/>
        <v>0</v>
      </c>
    </row>
    <row r="13" spans="2:36" x14ac:dyDescent="0.35">
      <c r="B13" s="9">
        <f>+'Option inputs'!$B$20</f>
        <v>6</v>
      </c>
      <c r="C13" s="14" t="str">
        <f>+'Option inputs'!$C$20</f>
        <v>Option 2C</v>
      </c>
      <c r="D13" s="26"/>
      <c r="E13" s="12" t="s">
        <v>35</v>
      </c>
      <c r="F13" s="23">
        <f t="shared" si="1"/>
        <v>1154773869.9201288</v>
      </c>
      <c r="G13" s="22">
        <f t="shared" si="2"/>
        <v>0</v>
      </c>
      <c r="H13" s="22">
        <f t="shared" si="2"/>
        <v>-346753928</v>
      </c>
      <c r="I13" s="22">
        <f t="shared" si="2"/>
        <v>-346752723</v>
      </c>
      <c r="J13" s="22">
        <f t="shared" si="2"/>
        <v>-346750859</v>
      </c>
      <c r="K13" s="22">
        <f t="shared" si="2"/>
        <v>323251899</v>
      </c>
      <c r="L13" s="22">
        <f t="shared" si="2"/>
        <v>658046695</v>
      </c>
      <c r="M13" s="22">
        <f t="shared" si="2"/>
        <v>-21890478</v>
      </c>
      <c r="N13" s="22">
        <f t="shared" si="2"/>
        <v>20697194</v>
      </c>
      <c r="O13" s="22">
        <f t="shared" si="2"/>
        <v>-90892477</v>
      </c>
      <c r="P13" s="22">
        <f t="shared" si="2"/>
        <v>337926415</v>
      </c>
      <c r="Q13" s="22">
        <f t="shared" si="3"/>
        <v>900448364</v>
      </c>
      <c r="R13" s="22">
        <f t="shared" si="3"/>
        <v>-805885595</v>
      </c>
      <c r="S13" s="22">
        <f t="shared" si="3"/>
        <v>852764535</v>
      </c>
      <c r="T13" s="22">
        <f t="shared" si="3"/>
        <v>-152623832</v>
      </c>
      <c r="U13" s="22">
        <f t="shared" si="3"/>
        <v>-131292719</v>
      </c>
      <c r="V13" s="22">
        <f t="shared" si="3"/>
        <v>80791937</v>
      </c>
      <c r="W13" s="22">
        <f t="shared" si="3"/>
        <v>-338602388</v>
      </c>
      <c r="X13" s="22">
        <f t="shared" si="3"/>
        <v>304089303</v>
      </c>
      <c r="Y13" s="22">
        <f t="shared" si="3"/>
        <v>-1033044779</v>
      </c>
      <c r="Z13" s="22">
        <f t="shared" si="3"/>
        <v>368388095</v>
      </c>
      <c r="AA13" s="22">
        <f t="shared" si="4"/>
        <v>468904263</v>
      </c>
      <c r="AB13" s="22">
        <f t="shared" si="4"/>
        <v>567679573</v>
      </c>
      <c r="AC13" s="22">
        <f t="shared" si="4"/>
        <v>496251517</v>
      </c>
      <c r="AD13" s="22">
        <f t="shared" si="4"/>
        <v>363395588</v>
      </c>
      <c r="AE13" s="22">
        <f t="shared" si="4"/>
        <v>667096713</v>
      </c>
      <c r="AF13" s="22">
        <f t="shared" si="4"/>
        <v>1335459086</v>
      </c>
      <c r="AG13" s="22">
        <f t="shared" si="4"/>
        <v>0</v>
      </c>
      <c r="AH13" s="22">
        <f t="shared" si="4"/>
        <v>0</v>
      </c>
      <c r="AI13" s="22">
        <f t="shared" si="4"/>
        <v>0</v>
      </c>
      <c r="AJ13" s="22">
        <f t="shared" si="4"/>
        <v>0</v>
      </c>
    </row>
    <row r="14" spans="2:36" x14ac:dyDescent="0.35">
      <c r="B14" s="9">
        <f>+'Option inputs'!$B$21</f>
        <v>7</v>
      </c>
      <c r="C14" s="14" t="str">
        <f>+'Option inputs'!$C$21</f>
        <v>Option 3A</v>
      </c>
      <c r="D14" s="26"/>
      <c r="E14" s="12" t="s">
        <v>35</v>
      </c>
      <c r="F14" s="23">
        <f t="shared" si="1"/>
        <v>782357141.01805532</v>
      </c>
      <c r="G14" s="22">
        <f t="shared" si="2"/>
        <v>0</v>
      </c>
      <c r="H14" s="22">
        <f t="shared" si="2"/>
        <v>-253497064</v>
      </c>
      <c r="I14" s="22">
        <f t="shared" si="2"/>
        <v>-253500417</v>
      </c>
      <c r="J14" s="22">
        <f t="shared" si="2"/>
        <v>-253496413</v>
      </c>
      <c r="K14" s="22">
        <f t="shared" si="2"/>
        <v>120852351</v>
      </c>
      <c r="L14" s="22">
        <f t="shared" si="2"/>
        <v>576383903</v>
      </c>
      <c r="M14" s="22">
        <f t="shared" si="2"/>
        <v>-843930</v>
      </c>
      <c r="N14" s="22">
        <f t="shared" si="2"/>
        <v>27705141</v>
      </c>
      <c r="O14" s="22">
        <f t="shared" si="2"/>
        <v>-70488241</v>
      </c>
      <c r="P14" s="22">
        <f t="shared" si="2"/>
        <v>320035642</v>
      </c>
      <c r="Q14" s="22">
        <f t="shared" si="3"/>
        <v>294576622</v>
      </c>
      <c r="R14" s="22">
        <f t="shared" si="3"/>
        <v>-253533759</v>
      </c>
      <c r="S14" s="22">
        <f t="shared" si="3"/>
        <v>-44810236</v>
      </c>
      <c r="T14" s="22">
        <f t="shared" si="3"/>
        <v>249829273</v>
      </c>
      <c r="U14" s="22">
        <f t="shared" si="3"/>
        <v>-26737007</v>
      </c>
      <c r="V14" s="22">
        <f t="shared" si="3"/>
        <v>-67447694</v>
      </c>
      <c r="W14" s="22">
        <f t="shared" si="3"/>
        <v>139036264</v>
      </c>
      <c r="X14" s="22">
        <f t="shared" si="3"/>
        <v>264754129</v>
      </c>
      <c r="Y14" s="22">
        <f t="shared" si="3"/>
        <v>-882455330</v>
      </c>
      <c r="Z14" s="22">
        <f t="shared" si="3"/>
        <v>292042398</v>
      </c>
      <c r="AA14" s="22">
        <f t="shared" si="4"/>
        <v>368105284</v>
      </c>
      <c r="AB14" s="22">
        <f t="shared" si="4"/>
        <v>398006787</v>
      </c>
      <c r="AC14" s="22">
        <f t="shared" si="4"/>
        <v>360613632</v>
      </c>
      <c r="AD14" s="22">
        <f t="shared" si="4"/>
        <v>202839211</v>
      </c>
      <c r="AE14" s="22">
        <f t="shared" si="4"/>
        <v>475484830</v>
      </c>
      <c r="AF14" s="22">
        <f t="shared" si="4"/>
        <v>960308530</v>
      </c>
      <c r="AG14" s="22">
        <f t="shared" si="4"/>
        <v>0</v>
      </c>
      <c r="AH14" s="22">
        <f t="shared" si="4"/>
        <v>0</v>
      </c>
      <c r="AI14" s="22">
        <f t="shared" si="4"/>
        <v>0</v>
      </c>
      <c r="AJ14" s="22">
        <f t="shared" si="4"/>
        <v>0</v>
      </c>
    </row>
    <row r="15" spans="2:36" x14ac:dyDescent="0.35">
      <c r="B15" s="9">
        <f>+'Option inputs'!$B$22</f>
        <v>8</v>
      </c>
      <c r="C15" s="14" t="str">
        <f>+'Option inputs'!$C$22</f>
        <v>Option 3B</v>
      </c>
      <c r="D15" s="26"/>
      <c r="E15" s="12" t="s">
        <v>35</v>
      </c>
      <c r="F15" s="23">
        <f t="shared" si="1"/>
        <v>1096480906.4244585</v>
      </c>
      <c r="G15" s="22">
        <f t="shared" si="2"/>
        <v>0</v>
      </c>
      <c r="H15" s="22">
        <f t="shared" si="2"/>
        <v>-305229201</v>
      </c>
      <c r="I15" s="22">
        <f t="shared" si="2"/>
        <v>-305243223</v>
      </c>
      <c r="J15" s="22">
        <f t="shared" si="2"/>
        <v>-305240891</v>
      </c>
      <c r="K15" s="22">
        <f t="shared" si="2"/>
        <v>77204836</v>
      </c>
      <c r="L15" s="22">
        <f t="shared" si="2"/>
        <v>591760010</v>
      </c>
      <c r="M15" s="22">
        <f t="shared" si="2"/>
        <v>676062</v>
      </c>
      <c r="N15" s="22">
        <f t="shared" si="2"/>
        <v>-22994870.333333343</v>
      </c>
      <c r="O15" s="22">
        <f t="shared" si="2"/>
        <v>-126130746.33333334</v>
      </c>
      <c r="P15" s="22">
        <f t="shared" si="2"/>
        <v>271429218.66666663</v>
      </c>
      <c r="Q15" s="22">
        <f t="shared" si="3"/>
        <v>1145993885</v>
      </c>
      <c r="R15" s="22">
        <f t="shared" si="3"/>
        <v>-767253279</v>
      </c>
      <c r="S15" s="22">
        <f t="shared" si="3"/>
        <v>794476009</v>
      </c>
      <c r="T15" s="22">
        <f t="shared" si="3"/>
        <v>-102171885</v>
      </c>
      <c r="U15" s="22">
        <f t="shared" si="3"/>
        <v>-160127624</v>
      </c>
      <c r="V15" s="22">
        <f t="shared" si="3"/>
        <v>56436442</v>
      </c>
      <c r="W15" s="22">
        <f t="shared" si="3"/>
        <v>-274473272</v>
      </c>
      <c r="X15" s="22">
        <f t="shared" si="3"/>
        <v>282893000</v>
      </c>
      <c r="Y15" s="22">
        <f t="shared" si="3"/>
        <v>-1027997089</v>
      </c>
      <c r="Z15" s="22">
        <f t="shared" si="3"/>
        <v>374592649</v>
      </c>
      <c r="AA15" s="22">
        <f t="shared" si="4"/>
        <v>459748059</v>
      </c>
      <c r="AB15" s="22">
        <f t="shared" si="4"/>
        <v>565628243</v>
      </c>
      <c r="AC15" s="22">
        <f t="shared" si="4"/>
        <v>496442534</v>
      </c>
      <c r="AD15" s="22">
        <f t="shared" si="4"/>
        <v>359673534</v>
      </c>
      <c r="AE15" s="22">
        <f t="shared" si="4"/>
        <v>663616275</v>
      </c>
      <c r="AF15" s="22">
        <f t="shared" si="4"/>
        <v>1354696009</v>
      </c>
      <c r="AG15" s="22">
        <f t="shared" si="4"/>
        <v>0</v>
      </c>
      <c r="AH15" s="22">
        <f t="shared" si="4"/>
        <v>0</v>
      </c>
      <c r="AI15" s="22">
        <f t="shared" si="4"/>
        <v>0</v>
      </c>
      <c r="AJ15" s="22">
        <f t="shared" si="4"/>
        <v>0</v>
      </c>
    </row>
    <row r="16" spans="2:36" x14ac:dyDescent="0.35">
      <c r="B16" s="9">
        <f>+'Option inputs'!$B$23</f>
        <v>9</v>
      </c>
      <c r="C16" s="14" t="str">
        <f>+'Option inputs'!$C$23</f>
        <v>Option 3C</v>
      </c>
      <c r="D16" s="26"/>
      <c r="E16" s="12" t="s">
        <v>35</v>
      </c>
      <c r="F16" s="23">
        <f t="shared" si="1"/>
        <v>1168026436.1891193</v>
      </c>
      <c r="G16" s="22">
        <f t="shared" si="2"/>
        <v>0</v>
      </c>
      <c r="H16" s="22">
        <f t="shared" si="2"/>
        <v>-338782512</v>
      </c>
      <c r="I16" s="22">
        <f t="shared" si="2"/>
        <v>-338756871</v>
      </c>
      <c r="J16" s="22">
        <f t="shared" si="2"/>
        <v>-338766148</v>
      </c>
      <c r="K16" s="22">
        <f t="shared" si="2"/>
        <v>314407468</v>
      </c>
      <c r="L16" s="22">
        <f t="shared" si="2"/>
        <v>631966121</v>
      </c>
      <c r="M16" s="22">
        <f t="shared" si="2"/>
        <v>-20255649</v>
      </c>
      <c r="N16" s="22">
        <f t="shared" si="2"/>
        <v>22381433</v>
      </c>
      <c r="O16" s="22">
        <f t="shared" si="2"/>
        <v>-89137850</v>
      </c>
      <c r="P16" s="22">
        <f t="shared" si="2"/>
        <v>338419045</v>
      </c>
      <c r="Q16" s="22">
        <f t="shared" si="3"/>
        <v>916269749</v>
      </c>
      <c r="R16" s="22">
        <f t="shared" si="3"/>
        <v>-766710198</v>
      </c>
      <c r="S16" s="22">
        <f t="shared" si="3"/>
        <v>794803482</v>
      </c>
      <c r="T16" s="22">
        <f t="shared" si="3"/>
        <v>-101730484</v>
      </c>
      <c r="U16" s="22">
        <f t="shared" si="3"/>
        <v>-159956706</v>
      </c>
      <c r="V16" s="22">
        <f t="shared" si="3"/>
        <v>56350288</v>
      </c>
      <c r="W16" s="22">
        <f t="shared" si="3"/>
        <v>-274260980</v>
      </c>
      <c r="X16" s="22">
        <f t="shared" si="3"/>
        <v>283417460</v>
      </c>
      <c r="Y16" s="22">
        <f t="shared" si="3"/>
        <v>-1027739085</v>
      </c>
      <c r="Z16" s="22">
        <f t="shared" si="3"/>
        <v>375023826</v>
      </c>
      <c r="AA16" s="22">
        <f t="shared" si="4"/>
        <v>460007511</v>
      </c>
      <c r="AB16" s="22">
        <f t="shared" si="4"/>
        <v>565923861</v>
      </c>
      <c r="AC16" s="22">
        <f t="shared" si="4"/>
        <v>496754697</v>
      </c>
      <c r="AD16" s="22">
        <f t="shared" si="4"/>
        <v>360005487</v>
      </c>
      <c r="AE16" s="22">
        <f t="shared" si="4"/>
        <v>663898900</v>
      </c>
      <c r="AF16" s="22">
        <f t="shared" si="4"/>
        <v>1319042483</v>
      </c>
      <c r="AG16" s="22">
        <f t="shared" si="4"/>
        <v>0</v>
      </c>
      <c r="AH16" s="22">
        <f t="shared" si="4"/>
        <v>0</v>
      </c>
      <c r="AI16" s="22">
        <f t="shared" si="4"/>
        <v>0</v>
      </c>
      <c r="AJ16" s="22">
        <f t="shared" si="4"/>
        <v>0</v>
      </c>
    </row>
    <row r="17" spans="2:36" x14ac:dyDescent="0.35">
      <c r="B17" s="9">
        <f>+'Option inputs'!$B$24</f>
        <v>10</v>
      </c>
      <c r="C17" s="14" t="str">
        <f>+'Option inputs'!$C$24</f>
        <v>Option 4A</v>
      </c>
      <c r="D17" s="26"/>
      <c r="E17" s="12" t="s">
        <v>35</v>
      </c>
      <c r="F17" s="23">
        <f t="shared" si="1"/>
        <v>656308249.1944114</v>
      </c>
      <c r="G17" s="22">
        <f t="shared" si="2"/>
        <v>0</v>
      </c>
      <c r="H17" s="22">
        <f t="shared" si="2"/>
        <v>-253746607</v>
      </c>
      <c r="I17" s="22">
        <f t="shared" si="2"/>
        <v>-332749528</v>
      </c>
      <c r="J17" s="22">
        <f t="shared" si="2"/>
        <v>-332748257</v>
      </c>
      <c r="K17" s="22">
        <f t="shared" si="2"/>
        <v>41605567</v>
      </c>
      <c r="L17" s="22">
        <f t="shared" si="2"/>
        <v>492439711</v>
      </c>
      <c r="M17" s="22">
        <f t="shared" si="2"/>
        <v>-1143022</v>
      </c>
      <c r="N17" s="22">
        <f t="shared" si="2"/>
        <v>29564602</v>
      </c>
      <c r="O17" s="22">
        <f t="shared" si="2"/>
        <v>-70294701</v>
      </c>
      <c r="P17" s="22">
        <f t="shared" si="2"/>
        <v>325981633</v>
      </c>
      <c r="Q17" s="22">
        <f t="shared" si="3"/>
        <v>414066403</v>
      </c>
      <c r="R17" s="22">
        <f t="shared" si="3"/>
        <v>-359683318</v>
      </c>
      <c r="S17" s="22">
        <f t="shared" si="3"/>
        <v>45340616</v>
      </c>
      <c r="T17" s="22">
        <f t="shared" si="3"/>
        <v>251841643</v>
      </c>
      <c r="U17" s="22">
        <f t="shared" si="3"/>
        <v>-24067881</v>
      </c>
      <c r="V17" s="22">
        <f t="shared" si="3"/>
        <v>-125788379</v>
      </c>
      <c r="W17" s="22">
        <f t="shared" si="3"/>
        <v>187042637</v>
      </c>
      <c r="X17" s="22">
        <f t="shared" si="3"/>
        <v>261209786</v>
      </c>
      <c r="Y17" s="22">
        <f t="shared" si="3"/>
        <v>-1003647437</v>
      </c>
      <c r="Z17" s="22">
        <f t="shared" si="3"/>
        <v>310663375</v>
      </c>
      <c r="AA17" s="22">
        <f t="shared" si="4"/>
        <v>437041317</v>
      </c>
      <c r="AB17" s="22">
        <f t="shared" si="4"/>
        <v>438053744</v>
      </c>
      <c r="AC17" s="22">
        <f t="shared" si="4"/>
        <v>393759082</v>
      </c>
      <c r="AD17" s="22">
        <f t="shared" si="4"/>
        <v>240043195</v>
      </c>
      <c r="AE17" s="22">
        <f t="shared" si="4"/>
        <v>517473963</v>
      </c>
      <c r="AF17" s="22">
        <f t="shared" si="4"/>
        <v>1188691999</v>
      </c>
      <c r="AG17" s="22">
        <f t="shared" si="4"/>
        <v>0</v>
      </c>
      <c r="AH17" s="22">
        <f t="shared" si="4"/>
        <v>0</v>
      </c>
      <c r="AI17" s="22">
        <f t="shared" si="4"/>
        <v>0</v>
      </c>
      <c r="AJ17" s="22">
        <f t="shared" si="4"/>
        <v>0</v>
      </c>
    </row>
    <row r="18" spans="2:36" x14ac:dyDescent="0.35">
      <c r="B18" s="9">
        <f>+'Option inputs'!$B$25</f>
        <v>11</v>
      </c>
      <c r="C18" s="14" t="str">
        <f>+'Option inputs'!$C$25</f>
        <v>Option 4B</v>
      </c>
      <c r="D18" s="26"/>
      <c r="E18" s="12" t="s">
        <v>35</v>
      </c>
      <c r="F18" s="23">
        <f t="shared" si="1"/>
        <v>969602303.37465107</v>
      </c>
      <c r="G18" s="22">
        <f t="shared" si="2"/>
        <v>0</v>
      </c>
      <c r="H18" s="22">
        <f t="shared" si="2"/>
        <v>-305498422</v>
      </c>
      <c r="I18" s="22">
        <f t="shared" si="2"/>
        <v>-393499881</v>
      </c>
      <c r="J18" s="22">
        <f t="shared" si="2"/>
        <v>-393497407</v>
      </c>
      <c r="K18" s="22">
        <f t="shared" si="2"/>
        <v>51204016</v>
      </c>
      <c r="L18" s="22">
        <f t="shared" si="2"/>
        <v>515982260</v>
      </c>
      <c r="M18" s="22">
        <f t="shared" si="2"/>
        <v>-4826037</v>
      </c>
      <c r="N18" s="22">
        <f t="shared" si="2"/>
        <v>-83435150.333333328</v>
      </c>
      <c r="O18" s="22">
        <f t="shared" si="2"/>
        <v>-189328688.33333331</v>
      </c>
      <c r="P18" s="22">
        <f t="shared" si="2"/>
        <v>223195705.66666669</v>
      </c>
      <c r="Q18" s="22">
        <f t="shared" si="3"/>
        <v>1220011087</v>
      </c>
      <c r="R18" s="22">
        <f t="shared" si="3"/>
        <v>-1000307855</v>
      </c>
      <c r="S18" s="22">
        <f t="shared" si="3"/>
        <v>1346401938</v>
      </c>
      <c r="T18" s="22">
        <f t="shared" si="3"/>
        <v>-205723642</v>
      </c>
      <c r="U18" s="22">
        <f t="shared" si="3"/>
        <v>-125929917</v>
      </c>
      <c r="V18" s="22">
        <f t="shared" si="3"/>
        <v>220874992</v>
      </c>
      <c r="W18" s="22">
        <f t="shared" si="3"/>
        <v>-754312724</v>
      </c>
      <c r="X18" s="22">
        <f t="shared" si="3"/>
        <v>338723137</v>
      </c>
      <c r="Y18" s="22">
        <f t="shared" si="3"/>
        <v>-885336791</v>
      </c>
      <c r="Z18" s="22">
        <f t="shared" si="3"/>
        <v>367833167</v>
      </c>
      <c r="AA18" s="22">
        <f t="shared" si="4"/>
        <v>458924860</v>
      </c>
      <c r="AB18" s="22">
        <f t="shared" si="4"/>
        <v>550723907</v>
      </c>
      <c r="AC18" s="22">
        <f t="shared" si="4"/>
        <v>509391381</v>
      </c>
      <c r="AD18" s="22">
        <f t="shared" si="4"/>
        <v>407849239</v>
      </c>
      <c r="AE18" s="22">
        <f t="shared" si="4"/>
        <v>710015851</v>
      </c>
      <c r="AF18" s="22">
        <f t="shared" si="4"/>
        <v>1710098530</v>
      </c>
      <c r="AG18" s="22">
        <f t="shared" si="4"/>
        <v>0</v>
      </c>
      <c r="AH18" s="22">
        <f t="shared" si="4"/>
        <v>0</v>
      </c>
      <c r="AI18" s="22">
        <f t="shared" si="4"/>
        <v>0</v>
      </c>
      <c r="AJ18" s="22">
        <f t="shared" si="4"/>
        <v>0</v>
      </c>
    </row>
    <row r="19" spans="2:36" x14ac:dyDescent="0.35">
      <c r="B19" s="9">
        <f>+'Option inputs'!$B$26</f>
        <v>12</v>
      </c>
      <c r="C19" s="14" t="str">
        <f>+'Option inputs'!$C$26</f>
        <v>Option 4C</v>
      </c>
      <c r="D19" s="26"/>
      <c r="E19" s="12" t="s">
        <v>35</v>
      </c>
      <c r="F19" s="23">
        <f t="shared" si="1"/>
        <v>967802642.50086617</v>
      </c>
      <c r="G19" s="22">
        <f t="shared" si="2"/>
        <v>0</v>
      </c>
      <c r="H19" s="22">
        <f t="shared" si="2"/>
        <v>-338675836</v>
      </c>
      <c r="I19" s="22">
        <f t="shared" si="2"/>
        <v>-472724825</v>
      </c>
      <c r="J19" s="22">
        <f t="shared" si="2"/>
        <v>-472716238</v>
      </c>
      <c r="K19" s="22">
        <f t="shared" si="2"/>
        <v>180460951</v>
      </c>
      <c r="L19" s="22">
        <f t="shared" si="2"/>
        <v>498041897</v>
      </c>
      <c r="M19" s="22">
        <f t="shared" si="2"/>
        <v>-22567431</v>
      </c>
      <c r="N19" s="22">
        <f t="shared" si="2"/>
        <v>20552453</v>
      </c>
      <c r="O19" s="22">
        <f t="shared" si="2"/>
        <v>-90780268</v>
      </c>
      <c r="P19" s="22">
        <f t="shared" si="2"/>
        <v>336799749</v>
      </c>
      <c r="Q19" s="22">
        <f t="shared" si="3"/>
        <v>1195354435</v>
      </c>
      <c r="R19" s="22">
        <f t="shared" si="3"/>
        <v>-1161419379</v>
      </c>
      <c r="S19" s="22">
        <f t="shared" si="3"/>
        <v>1349265687</v>
      </c>
      <c r="T19" s="22">
        <f t="shared" si="3"/>
        <v>-206559975</v>
      </c>
      <c r="U19" s="22">
        <f t="shared" si="3"/>
        <v>-125946043</v>
      </c>
      <c r="V19" s="22">
        <f t="shared" si="3"/>
        <v>221745157</v>
      </c>
      <c r="W19" s="22">
        <f t="shared" si="3"/>
        <v>-753889355</v>
      </c>
      <c r="X19" s="22">
        <f t="shared" si="3"/>
        <v>337839455</v>
      </c>
      <c r="Y19" s="22">
        <f t="shared" si="3"/>
        <v>-887067045</v>
      </c>
      <c r="Z19" s="22">
        <f t="shared" si="3"/>
        <v>371750752</v>
      </c>
      <c r="AA19" s="22">
        <f t="shared" si="4"/>
        <v>456687411</v>
      </c>
      <c r="AB19" s="22">
        <f t="shared" si="4"/>
        <v>551249675</v>
      </c>
      <c r="AC19" s="22">
        <f t="shared" si="4"/>
        <v>510201590</v>
      </c>
      <c r="AD19" s="22">
        <f t="shared" si="4"/>
        <v>408056816</v>
      </c>
      <c r="AE19" s="22">
        <f t="shared" si="4"/>
        <v>710309769</v>
      </c>
      <c r="AF19" s="22">
        <f t="shared" si="4"/>
        <v>1661177904</v>
      </c>
      <c r="AG19" s="22">
        <f t="shared" si="4"/>
        <v>0</v>
      </c>
      <c r="AH19" s="22">
        <f t="shared" si="4"/>
        <v>0</v>
      </c>
      <c r="AI19" s="22">
        <f t="shared" si="4"/>
        <v>0</v>
      </c>
      <c r="AJ19" s="22">
        <f t="shared" si="4"/>
        <v>0</v>
      </c>
    </row>
    <row r="20" spans="2:36" x14ac:dyDescent="0.35">
      <c r="F20" s="134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</row>
    <row r="21" spans="2:36" x14ac:dyDescent="0.35">
      <c r="B21" s="5" t="s">
        <v>74</v>
      </c>
      <c r="C21" s="28"/>
      <c r="D21" s="28"/>
      <c r="E21" s="11"/>
      <c r="F21" s="11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</row>
    <row r="22" spans="2:36" x14ac:dyDescent="0.35">
      <c r="B22" s="7" t="s">
        <v>14</v>
      </c>
      <c r="C22" s="10" t="s">
        <v>13</v>
      </c>
      <c r="D22" s="10"/>
      <c r="E22" s="8" t="s">
        <v>22</v>
      </c>
      <c r="F22" s="8" t="s">
        <v>37</v>
      </c>
      <c r="G22" s="13" t="str">
        <f>G$56</f>
        <v>FY 2019-20</v>
      </c>
      <c r="H22" s="13" t="str">
        <f t="shared" ref="H22:AJ22" si="5">H$56</f>
        <v>FY 2020-21</v>
      </c>
      <c r="I22" s="13" t="str">
        <f t="shared" si="5"/>
        <v>FY 2021-22</v>
      </c>
      <c r="J22" s="13" t="str">
        <f t="shared" si="5"/>
        <v>FY 2022-23</v>
      </c>
      <c r="K22" s="13" t="str">
        <f t="shared" si="5"/>
        <v>FY 2023-24</v>
      </c>
      <c r="L22" s="13" t="str">
        <f t="shared" si="5"/>
        <v>FY 2024-25</v>
      </c>
      <c r="M22" s="13" t="str">
        <f t="shared" si="5"/>
        <v>FY 2025-26</v>
      </c>
      <c r="N22" s="13" t="str">
        <f t="shared" si="5"/>
        <v>FY 2026-27</v>
      </c>
      <c r="O22" s="13" t="str">
        <f t="shared" si="5"/>
        <v>FY 2027-28</v>
      </c>
      <c r="P22" s="13" t="str">
        <f t="shared" si="5"/>
        <v>FY 2028-29</v>
      </c>
      <c r="Q22" s="13" t="str">
        <f t="shared" si="5"/>
        <v>FY 2029-30</v>
      </c>
      <c r="R22" s="13" t="str">
        <f t="shared" si="5"/>
        <v>FY 2030-31</v>
      </c>
      <c r="S22" s="13" t="str">
        <f t="shared" si="5"/>
        <v>FY 2031-32</v>
      </c>
      <c r="T22" s="13" t="str">
        <f t="shared" si="5"/>
        <v>FY 2032-33</v>
      </c>
      <c r="U22" s="13" t="str">
        <f t="shared" si="5"/>
        <v>FY 2033-34</v>
      </c>
      <c r="V22" s="13" t="str">
        <f t="shared" si="5"/>
        <v>FY 2034-35</v>
      </c>
      <c r="W22" s="13" t="str">
        <f t="shared" si="5"/>
        <v>FY 2035-36</v>
      </c>
      <c r="X22" s="13" t="str">
        <f t="shared" si="5"/>
        <v>FY 2036-37</v>
      </c>
      <c r="Y22" s="13" t="str">
        <f t="shared" si="5"/>
        <v>FY 2037-38</v>
      </c>
      <c r="Z22" s="13" t="str">
        <f t="shared" si="5"/>
        <v>FY 2038-39</v>
      </c>
      <c r="AA22" s="13" t="str">
        <f t="shared" si="5"/>
        <v>FY 2039-40</v>
      </c>
      <c r="AB22" s="13" t="str">
        <f t="shared" si="5"/>
        <v>FY 2040-41</v>
      </c>
      <c r="AC22" s="13" t="str">
        <f t="shared" si="5"/>
        <v>FY 2041-42</v>
      </c>
      <c r="AD22" s="13" t="str">
        <f t="shared" si="5"/>
        <v>FY 2042-43</v>
      </c>
      <c r="AE22" s="13" t="str">
        <f t="shared" si="5"/>
        <v>FY 2043-44</v>
      </c>
      <c r="AF22" s="13" t="str">
        <f t="shared" si="5"/>
        <v>FY 2044-45</v>
      </c>
      <c r="AG22" s="13" t="str">
        <f t="shared" si="5"/>
        <v>FY 2045-46</v>
      </c>
      <c r="AH22" s="13" t="str">
        <f t="shared" si="5"/>
        <v>FY 2046-47</v>
      </c>
      <c r="AI22" s="13" t="str">
        <f t="shared" si="5"/>
        <v>FY 2047-48</v>
      </c>
      <c r="AJ22" s="13" t="str">
        <f t="shared" si="5"/>
        <v>FY 2048-49</v>
      </c>
    </row>
    <row r="23" spans="2:36" x14ac:dyDescent="0.35">
      <c r="B23" s="9">
        <f>+'Option inputs'!$B$15</f>
        <v>1</v>
      </c>
      <c r="C23" s="14" t="str">
        <f>+'Option inputs'!$C$15</f>
        <v>Option 1A</v>
      </c>
      <c r="D23" s="141"/>
      <c r="E23" s="12" t="s">
        <v>35</v>
      </c>
      <c r="F23" s="23">
        <f t="shared" ref="F23:F34" si="6">NPV(DiscountRate_ACTIVE,G23:AJ23)/(1+DiscountRate_ACTIVE)^(FirstYear-BaseYear-1)</f>
        <v>991712517.08120298</v>
      </c>
      <c r="G23" s="22">
        <f t="shared" ref="G23:P34" si="7">SUMIF($C$159:$C$232,$C23,G$159:G$232)</f>
        <v>0</v>
      </c>
      <c r="H23" s="22">
        <f t="shared" si="7"/>
        <v>9460</v>
      </c>
      <c r="I23" s="22">
        <f t="shared" si="7"/>
        <v>13153</v>
      </c>
      <c r="J23" s="22">
        <f t="shared" si="7"/>
        <v>-8304</v>
      </c>
      <c r="K23" s="22">
        <f t="shared" si="7"/>
        <v>289269706</v>
      </c>
      <c r="L23" s="22">
        <f t="shared" si="7"/>
        <v>475964198</v>
      </c>
      <c r="M23" s="22">
        <f t="shared" si="7"/>
        <v>13158460</v>
      </c>
      <c r="N23" s="22">
        <f t="shared" si="7"/>
        <v>43408119</v>
      </c>
      <c r="O23" s="22">
        <f t="shared" si="7"/>
        <v>-64606148</v>
      </c>
      <c r="P23" s="22">
        <f t="shared" si="7"/>
        <v>331267415</v>
      </c>
      <c r="Q23" s="22">
        <f t="shared" ref="Q23:Z34" si="8">SUMIF($C$159:$C$232,$C23,Q$159:Q$232)</f>
        <v>518923308</v>
      </c>
      <c r="R23" s="22">
        <f t="shared" si="8"/>
        <v>-60246545</v>
      </c>
      <c r="S23" s="22">
        <f t="shared" si="8"/>
        <v>-284775672</v>
      </c>
      <c r="T23" s="22">
        <f t="shared" si="8"/>
        <v>-60146158</v>
      </c>
      <c r="U23" s="22">
        <f t="shared" si="8"/>
        <v>25991911</v>
      </c>
      <c r="V23" s="22">
        <f t="shared" si="8"/>
        <v>19767504</v>
      </c>
      <c r="W23" s="22">
        <f t="shared" si="8"/>
        <v>-203603550</v>
      </c>
      <c r="X23" s="22">
        <f t="shared" si="8"/>
        <v>179478673</v>
      </c>
      <c r="Y23" s="22">
        <f t="shared" si="8"/>
        <v>-32952385</v>
      </c>
      <c r="Z23" s="22">
        <f t="shared" si="8"/>
        <v>96416252</v>
      </c>
      <c r="AA23" s="22">
        <f t="shared" ref="AA23:AJ34" si="9">SUMIF($C$159:$C$232,$C23,AA$159:AA$232)</f>
        <v>15534577</v>
      </c>
      <c r="AB23" s="22">
        <f t="shared" si="9"/>
        <v>16361816</v>
      </c>
      <c r="AC23" s="22">
        <f t="shared" si="9"/>
        <v>161613620</v>
      </c>
      <c r="AD23" s="22">
        <f t="shared" si="9"/>
        <v>36175193</v>
      </c>
      <c r="AE23" s="22">
        <f t="shared" si="9"/>
        <v>69342605</v>
      </c>
      <c r="AF23" s="22">
        <f t="shared" si="9"/>
        <v>43535684</v>
      </c>
      <c r="AG23" s="22">
        <f t="shared" si="9"/>
        <v>0</v>
      </c>
      <c r="AH23" s="22">
        <f t="shared" si="9"/>
        <v>0</v>
      </c>
      <c r="AI23" s="22">
        <f t="shared" si="9"/>
        <v>0</v>
      </c>
      <c r="AJ23" s="22">
        <f t="shared" si="9"/>
        <v>0</v>
      </c>
    </row>
    <row r="24" spans="2:36" x14ac:dyDescent="0.35">
      <c r="B24" s="9">
        <f>+'Option inputs'!$B$16</f>
        <v>2</v>
      </c>
      <c r="C24" s="14" t="str">
        <f>+'Option inputs'!$C$16</f>
        <v>Option 1B</v>
      </c>
      <c r="D24" s="141"/>
      <c r="E24" s="12" t="s">
        <v>35</v>
      </c>
      <c r="F24" s="23">
        <f t="shared" si="6"/>
        <v>1393667025.6100137</v>
      </c>
      <c r="G24" s="22">
        <f t="shared" si="7"/>
        <v>0</v>
      </c>
      <c r="H24" s="22">
        <f t="shared" si="7"/>
        <v>64322</v>
      </c>
      <c r="I24" s="22">
        <f t="shared" si="7"/>
        <v>23308</v>
      </c>
      <c r="J24" s="22">
        <f t="shared" si="7"/>
        <v>27465</v>
      </c>
      <c r="K24" s="22">
        <f t="shared" si="7"/>
        <v>295443684</v>
      </c>
      <c r="L24" s="22">
        <f t="shared" si="7"/>
        <v>469890289</v>
      </c>
      <c r="M24" s="22">
        <f t="shared" si="7"/>
        <v>15232078</v>
      </c>
      <c r="N24" s="22">
        <f t="shared" si="7"/>
        <v>49473563</v>
      </c>
      <c r="O24" s="22">
        <f t="shared" si="7"/>
        <v>-64619817</v>
      </c>
      <c r="P24" s="22">
        <f t="shared" si="7"/>
        <v>342084435</v>
      </c>
      <c r="Q24" s="22">
        <f t="shared" si="8"/>
        <v>1449234945</v>
      </c>
      <c r="R24" s="22">
        <f t="shared" si="8"/>
        <v>-986406795</v>
      </c>
      <c r="S24" s="22">
        <f t="shared" si="8"/>
        <v>794422018</v>
      </c>
      <c r="T24" s="22">
        <f t="shared" si="8"/>
        <v>-492065892</v>
      </c>
      <c r="U24" s="22">
        <f t="shared" si="8"/>
        <v>-95353958</v>
      </c>
      <c r="V24" s="22">
        <f t="shared" si="8"/>
        <v>61893821</v>
      </c>
      <c r="W24" s="22">
        <f t="shared" si="8"/>
        <v>-222217824</v>
      </c>
      <c r="X24" s="22">
        <f t="shared" si="8"/>
        <v>188005533</v>
      </c>
      <c r="Y24" s="22">
        <f t="shared" si="8"/>
        <v>-224795452</v>
      </c>
      <c r="Z24" s="22">
        <f t="shared" si="8"/>
        <v>221882387</v>
      </c>
      <c r="AA24" s="22">
        <f t="shared" si="9"/>
        <v>81130479</v>
      </c>
      <c r="AB24" s="22">
        <f t="shared" si="9"/>
        <v>96667813</v>
      </c>
      <c r="AC24" s="22">
        <f t="shared" si="9"/>
        <v>103933037</v>
      </c>
      <c r="AD24" s="22">
        <f t="shared" si="9"/>
        <v>116604570</v>
      </c>
      <c r="AE24" s="22">
        <f t="shared" si="9"/>
        <v>157201023</v>
      </c>
      <c r="AF24" s="22">
        <f t="shared" si="9"/>
        <v>107607171</v>
      </c>
      <c r="AG24" s="22">
        <f t="shared" si="9"/>
        <v>0</v>
      </c>
      <c r="AH24" s="22">
        <f t="shared" si="9"/>
        <v>0</v>
      </c>
      <c r="AI24" s="22">
        <f t="shared" si="9"/>
        <v>0</v>
      </c>
      <c r="AJ24" s="22">
        <f t="shared" si="9"/>
        <v>0</v>
      </c>
    </row>
    <row r="25" spans="2:36" x14ac:dyDescent="0.35">
      <c r="B25" s="9">
        <f>+'Option inputs'!$B$17</f>
        <v>3</v>
      </c>
      <c r="C25" s="14" t="str">
        <f>+'Option inputs'!$C$17</f>
        <v>Option 1C</v>
      </c>
      <c r="D25" s="141"/>
      <c r="E25" s="12" t="s">
        <v>35</v>
      </c>
      <c r="F25" s="23">
        <f t="shared" si="6"/>
        <v>1330639933.5773151</v>
      </c>
      <c r="G25" s="22">
        <f t="shared" si="7"/>
        <v>0</v>
      </c>
      <c r="H25" s="22">
        <f t="shared" si="7"/>
        <v>10510</v>
      </c>
      <c r="I25" s="22">
        <f t="shared" si="7"/>
        <v>2676</v>
      </c>
      <c r="J25" s="22">
        <f t="shared" si="7"/>
        <v>7354</v>
      </c>
      <c r="K25" s="22">
        <f t="shared" si="7"/>
        <v>-14808615</v>
      </c>
      <c r="L25" s="22">
        <f t="shared" si="7"/>
        <v>424391662</v>
      </c>
      <c r="M25" s="22">
        <f t="shared" si="7"/>
        <v>39303155</v>
      </c>
      <c r="N25" s="22">
        <f t="shared" si="7"/>
        <v>67269377</v>
      </c>
      <c r="O25" s="22">
        <f t="shared" si="7"/>
        <v>-43890281</v>
      </c>
      <c r="P25" s="22">
        <f t="shared" si="7"/>
        <v>398385157</v>
      </c>
      <c r="Q25" s="22">
        <f t="shared" si="8"/>
        <v>1627492665</v>
      </c>
      <c r="R25" s="22">
        <f t="shared" si="8"/>
        <v>-907356884</v>
      </c>
      <c r="S25" s="22">
        <f t="shared" si="8"/>
        <v>793624019</v>
      </c>
      <c r="T25" s="22">
        <f t="shared" si="8"/>
        <v>-492024539</v>
      </c>
      <c r="U25" s="22">
        <f t="shared" si="8"/>
        <v>-95198257</v>
      </c>
      <c r="V25" s="22">
        <f t="shared" si="8"/>
        <v>61777917</v>
      </c>
      <c r="W25" s="22">
        <f t="shared" si="8"/>
        <v>-221888829</v>
      </c>
      <c r="X25" s="22">
        <f t="shared" si="8"/>
        <v>187915473</v>
      </c>
      <c r="Y25" s="22">
        <f t="shared" si="8"/>
        <v>-225000089</v>
      </c>
      <c r="Z25" s="22">
        <f t="shared" si="8"/>
        <v>221568942</v>
      </c>
      <c r="AA25" s="22">
        <f t="shared" si="9"/>
        <v>81286598</v>
      </c>
      <c r="AB25" s="22">
        <f t="shared" si="9"/>
        <v>96639312</v>
      </c>
      <c r="AC25" s="22">
        <f t="shared" si="9"/>
        <v>104128352</v>
      </c>
      <c r="AD25" s="22">
        <f t="shared" si="9"/>
        <v>116647211</v>
      </c>
      <c r="AE25" s="22">
        <f t="shared" si="9"/>
        <v>157155208</v>
      </c>
      <c r="AF25" s="22">
        <f t="shared" si="9"/>
        <v>107571038</v>
      </c>
      <c r="AG25" s="22">
        <f t="shared" si="9"/>
        <v>0</v>
      </c>
      <c r="AH25" s="22">
        <f t="shared" si="9"/>
        <v>0</v>
      </c>
      <c r="AI25" s="22">
        <f t="shared" si="9"/>
        <v>0</v>
      </c>
      <c r="AJ25" s="22">
        <f t="shared" si="9"/>
        <v>0</v>
      </c>
    </row>
    <row r="26" spans="2:36" x14ac:dyDescent="0.35">
      <c r="B26" s="9">
        <f>+'Option inputs'!$B$18</f>
        <v>4</v>
      </c>
      <c r="C26" s="14" t="str">
        <f>+'Option inputs'!$C$18</f>
        <v>Option 2A</v>
      </c>
      <c r="D26" s="141"/>
      <c r="E26" s="12" t="s">
        <v>35</v>
      </c>
      <c r="F26" s="23">
        <f t="shared" si="6"/>
        <v>1798046550.5959063</v>
      </c>
      <c r="G26" s="22">
        <f t="shared" si="7"/>
        <v>0</v>
      </c>
      <c r="H26" s="22">
        <f t="shared" si="7"/>
        <v>-10108</v>
      </c>
      <c r="I26" s="22">
        <f t="shared" si="7"/>
        <v>3825</v>
      </c>
      <c r="J26" s="22">
        <f t="shared" si="7"/>
        <v>-12449</v>
      </c>
      <c r="K26" s="22">
        <f t="shared" si="7"/>
        <v>444629321</v>
      </c>
      <c r="L26" s="22">
        <f t="shared" si="7"/>
        <v>629426972</v>
      </c>
      <c r="M26" s="22">
        <f t="shared" si="7"/>
        <v>4388530</v>
      </c>
      <c r="N26" s="22">
        <f t="shared" si="7"/>
        <v>39473901</v>
      </c>
      <c r="O26" s="22">
        <f t="shared" si="7"/>
        <v>-64009154</v>
      </c>
      <c r="P26" s="22">
        <f t="shared" si="7"/>
        <v>347428376</v>
      </c>
      <c r="Q26" s="22">
        <f t="shared" si="8"/>
        <v>760957929</v>
      </c>
      <c r="R26" s="22">
        <f t="shared" si="8"/>
        <v>-449662224</v>
      </c>
      <c r="S26" s="22">
        <f t="shared" si="8"/>
        <v>18253960</v>
      </c>
      <c r="T26" s="22">
        <f t="shared" si="8"/>
        <v>109896647</v>
      </c>
      <c r="U26" s="22">
        <f t="shared" si="8"/>
        <v>-38900889</v>
      </c>
      <c r="V26" s="22">
        <f t="shared" si="8"/>
        <v>-58628185</v>
      </c>
      <c r="W26" s="22">
        <f t="shared" si="8"/>
        <v>33892033</v>
      </c>
      <c r="X26" s="22">
        <f t="shared" si="8"/>
        <v>230933107</v>
      </c>
      <c r="Y26" s="22">
        <f t="shared" si="8"/>
        <v>-1138108543</v>
      </c>
      <c r="Z26" s="22">
        <f t="shared" si="8"/>
        <v>398609390</v>
      </c>
      <c r="AA26" s="22">
        <f t="shared" si="9"/>
        <v>521887100</v>
      </c>
      <c r="AB26" s="22">
        <f t="shared" si="9"/>
        <v>468539509</v>
      </c>
      <c r="AC26" s="22">
        <f t="shared" si="9"/>
        <v>345404683</v>
      </c>
      <c r="AD26" s="22">
        <f t="shared" si="9"/>
        <v>318540521</v>
      </c>
      <c r="AE26" s="22">
        <f t="shared" si="9"/>
        <v>540490573</v>
      </c>
      <c r="AF26" s="22">
        <f t="shared" si="9"/>
        <v>467450334</v>
      </c>
      <c r="AG26" s="22">
        <f t="shared" si="9"/>
        <v>0</v>
      </c>
      <c r="AH26" s="22">
        <f t="shared" si="9"/>
        <v>0</v>
      </c>
      <c r="AI26" s="22">
        <f t="shared" si="9"/>
        <v>0</v>
      </c>
      <c r="AJ26" s="22">
        <f t="shared" si="9"/>
        <v>0</v>
      </c>
    </row>
    <row r="27" spans="2:36" x14ac:dyDescent="0.35">
      <c r="B27" s="9">
        <f>+'Option inputs'!$B$19</f>
        <v>5</v>
      </c>
      <c r="C27" s="14" t="str">
        <f>+'Option inputs'!$C$19</f>
        <v>Option 2B</v>
      </c>
      <c r="D27" s="141"/>
      <c r="E27" s="12" t="s">
        <v>35</v>
      </c>
      <c r="F27" s="23">
        <f t="shared" si="6"/>
        <v>2245014447.3981829</v>
      </c>
      <c r="G27" s="22">
        <f t="shared" si="7"/>
        <v>0</v>
      </c>
      <c r="H27" s="22">
        <f t="shared" si="7"/>
        <v>5078</v>
      </c>
      <c r="I27" s="22">
        <f t="shared" si="7"/>
        <v>6230</v>
      </c>
      <c r="J27" s="22">
        <f t="shared" si="7"/>
        <v>-37</v>
      </c>
      <c r="K27" s="22">
        <f t="shared" si="7"/>
        <v>483177206</v>
      </c>
      <c r="L27" s="22">
        <f t="shared" si="7"/>
        <v>638827561</v>
      </c>
      <c r="M27" s="22">
        <f t="shared" si="7"/>
        <v>5338915</v>
      </c>
      <c r="N27" s="22">
        <f t="shared" si="7"/>
        <v>41718449</v>
      </c>
      <c r="O27" s="22">
        <f t="shared" si="7"/>
        <v>-63325655</v>
      </c>
      <c r="P27" s="22">
        <f t="shared" si="7"/>
        <v>350913143</v>
      </c>
      <c r="Q27" s="22">
        <f t="shared" si="8"/>
        <v>1074550227</v>
      </c>
      <c r="R27" s="22">
        <f t="shared" si="8"/>
        <v>-792213242</v>
      </c>
      <c r="S27" s="22">
        <f t="shared" si="8"/>
        <v>866606886</v>
      </c>
      <c r="T27" s="22">
        <f t="shared" si="8"/>
        <v>-138865638</v>
      </c>
      <c r="U27" s="22">
        <f t="shared" si="8"/>
        <v>-117127844</v>
      </c>
      <c r="V27" s="22">
        <f t="shared" si="8"/>
        <v>94531293</v>
      </c>
      <c r="W27" s="22">
        <f t="shared" si="8"/>
        <v>-324508656</v>
      </c>
      <c r="X27" s="22">
        <f t="shared" si="8"/>
        <v>317988915</v>
      </c>
      <c r="Y27" s="22">
        <f t="shared" si="8"/>
        <v>-1019133191</v>
      </c>
      <c r="Z27" s="22">
        <f t="shared" si="8"/>
        <v>382218288</v>
      </c>
      <c r="AA27" s="22">
        <f t="shared" si="9"/>
        <v>482827308</v>
      </c>
      <c r="AB27" s="22">
        <f t="shared" si="9"/>
        <v>581547492</v>
      </c>
      <c r="AC27" s="22">
        <f t="shared" si="9"/>
        <v>510035196</v>
      </c>
      <c r="AD27" s="22">
        <f t="shared" si="9"/>
        <v>377363683</v>
      </c>
      <c r="AE27" s="22">
        <f t="shared" si="9"/>
        <v>680903933</v>
      </c>
      <c r="AF27" s="22">
        <f t="shared" si="9"/>
        <v>577100066</v>
      </c>
      <c r="AG27" s="22">
        <f t="shared" si="9"/>
        <v>0</v>
      </c>
      <c r="AH27" s="22">
        <f t="shared" si="9"/>
        <v>0</v>
      </c>
      <c r="AI27" s="22">
        <f t="shared" si="9"/>
        <v>0</v>
      </c>
      <c r="AJ27" s="22">
        <f t="shared" si="9"/>
        <v>0</v>
      </c>
    </row>
    <row r="28" spans="2:36" x14ac:dyDescent="0.35">
      <c r="B28" s="9">
        <f>+'Option inputs'!$B$20</f>
        <v>6</v>
      </c>
      <c r="C28" s="14" t="str">
        <f>+'Option inputs'!$C$20</f>
        <v>Option 2C</v>
      </c>
      <c r="D28" s="141"/>
      <c r="E28" s="12" t="s">
        <v>35</v>
      </c>
      <c r="F28" s="23">
        <f t="shared" si="6"/>
        <v>2305663464.004848</v>
      </c>
      <c r="G28" s="22">
        <f t="shared" si="7"/>
        <v>0</v>
      </c>
      <c r="H28" s="22">
        <f t="shared" si="7"/>
        <v>-3928</v>
      </c>
      <c r="I28" s="22">
        <f t="shared" si="7"/>
        <v>-2723</v>
      </c>
      <c r="J28" s="22">
        <f t="shared" si="7"/>
        <v>-859</v>
      </c>
      <c r="K28" s="22">
        <f t="shared" si="7"/>
        <v>670001899</v>
      </c>
      <c r="L28" s="22">
        <f t="shared" si="7"/>
        <v>671916695</v>
      </c>
      <c r="M28" s="22">
        <f t="shared" si="7"/>
        <v>-8020478</v>
      </c>
      <c r="N28" s="22">
        <f t="shared" si="7"/>
        <v>34567194</v>
      </c>
      <c r="O28" s="22">
        <f t="shared" si="7"/>
        <v>-77022477</v>
      </c>
      <c r="P28" s="22">
        <f t="shared" si="7"/>
        <v>351796415</v>
      </c>
      <c r="Q28" s="22">
        <f t="shared" si="8"/>
        <v>914318364</v>
      </c>
      <c r="R28" s="22">
        <f t="shared" si="8"/>
        <v>-792015595</v>
      </c>
      <c r="S28" s="22">
        <f t="shared" si="8"/>
        <v>866634535</v>
      </c>
      <c r="T28" s="22">
        <f t="shared" si="8"/>
        <v>-138753832</v>
      </c>
      <c r="U28" s="22">
        <f t="shared" si="8"/>
        <v>-117422719</v>
      </c>
      <c r="V28" s="22">
        <f t="shared" si="8"/>
        <v>94661937</v>
      </c>
      <c r="W28" s="22">
        <f t="shared" si="8"/>
        <v>-324732388</v>
      </c>
      <c r="X28" s="22">
        <f t="shared" si="8"/>
        <v>317959303</v>
      </c>
      <c r="Y28" s="22">
        <f t="shared" si="8"/>
        <v>-1019174779</v>
      </c>
      <c r="Z28" s="22">
        <f t="shared" si="8"/>
        <v>382258095</v>
      </c>
      <c r="AA28" s="22">
        <f t="shared" si="9"/>
        <v>482774263</v>
      </c>
      <c r="AB28" s="22">
        <f t="shared" si="9"/>
        <v>581549573</v>
      </c>
      <c r="AC28" s="22">
        <f t="shared" si="9"/>
        <v>510121517</v>
      </c>
      <c r="AD28" s="22">
        <f t="shared" si="9"/>
        <v>377265588</v>
      </c>
      <c r="AE28" s="22">
        <f t="shared" si="9"/>
        <v>680966713</v>
      </c>
      <c r="AF28" s="22">
        <f t="shared" si="9"/>
        <v>577104086</v>
      </c>
      <c r="AG28" s="22">
        <f t="shared" si="9"/>
        <v>0</v>
      </c>
      <c r="AH28" s="22">
        <f t="shared" si="9"/>
        <v>0</v>
      </c>
      <c r="AI28" s="22">
        <f t="shared" si="9"/>
        <v>0</v>
      </c>
      <c r="AJ28" s="22">
        <f t="shared" si="9"/>
        <v>0</v>
      </c>
    </row>
    <row r="29" spans="2:36" x14ac:dyDescent="0.35">
      <c r="B29" s="9">
        <f>+'Option inputs'!$B$21</f>
        <v>7</v>
      </c>
      <c r="C29" s="14" t="str">
        <f>+'Option inputs'!$C$21</f>
        <v>Option 3A</v>
      </c>
      <c r="D29" s="26"/>
      <c r="E29" s="12" t="s">
        <v>35</v>
      </c>
      <c r="F29" s="23">
        <f t="shared" si="6"/>
        <v>1621402327.5164495</v>
      </c>
      <c r="G29" s="22">
        <f t="shared" si="7"/>
        <v>0</v>
      </c>
      <c r="H29" s="22">
        <f t="shared" si="7"/>
        <v>2936</v>
      </c>
      <c r="I29" s="22">
        <f t="shared" si="7"/>
        <v>-417</v>
      </c>
      <c r="J29" s="22">
        <f t="shared" si="7"/>
        <v>3587</v>
      </c>
      <c r="K29" s="22">
        <f t="shared" si="7"/>
        <v>374352351</v>
      </c>
      <c r="L29" s="22">
        <f t="shared" si="7"/>
        <v>586523903</v>
      </c>
      <c r="M29" s="22">
        <f t="shared" si="7"/>
        <v>9296070</v>
      </c>
      <c r="N29" s="22">
        <f t="shared" si="7"/>
        <v>37845141</v>
      </c>
      <c r="O29" s="22">
        <f t="shared" si="7"/>
        <v>-60348241</v>
      </c>
      <c r="P29" s="22">
        <f t="shared" si="7"/>
        <v>330175642</v>
      </c>
      <c r="Q29" s="22">
        <f t="shared" si="8"/>
        <v>304716622</v>
      </c>
      <c r="R29" s="22">
        <f t="shared" si="8"/>
        <v>-243393759</v>
      </c>
      <c r="S29" s="22">
        <f t="shared" si="8"/>
        <v>-34670236</v>
      </c>
      <c r="T29" s="22">
        <f t="shared" si="8"/>
        <v>259969273</v>
      </c>
      <c r="U29" s="22">
        <f t="shared" si="8"/>
        <v>-16597007</v>
      </c>
      <c r="V29" s="22">
        <f t="shared" si="8"/>
        <v>-57307694</v>
      </c>
      <c r="W29" s="22">
        <f t="shared" si="8"/>
        <v>149176264</v>
      </c>
      <c r="X29" s="22">
        <f t="shared" si="8"/>
        <v>274894129</v>
      </c>
      <c r="Y29" s="22">
        <f t="shared" si="8"/>
        <v>-872315330</v>
      </c>
      <c r="Z29" s="22">
        <f t="shared" si="8"/>
        <v>302182398</v>
      </c>
      <c r="AA29" s="22">
        <f t="shared" si="9"/>
        <v>378245284</v>
      </c>
      <c r="AB29" s="22">
        <f t="shared" si="9"/>
        <v>408146787</v>
      </c>
      <c r="AC29" s="22">
        <f t="shared" si="9"/>
        <v>370753632</v>
      </c>
      <c r="AD29" s="22">
        <f t="shared" si="9"/>
        <v>212979211</v>
      </c>
      <c r="AE29" s="22">
        <f t="shared" si="9"/>
        <v>485624830</v>
      </c>
      <c r="AF29" s="22">
        <f t="shared" si="9"/>
        <v>396083530</v>
      </c>
      <c r="AG29" s="22">
        <f t="shared" si="9"/>
        <v>0</v>
      </c>
      <c r="AH29" s="22">
        <f t="shared" si="9"/>
        <v>0</v>
      </c>
      <c r="AI29" s="22">
        <f t="shared" si="9"/>
        <v>0</v>
      </c>
      <c r="AJ29" s="22">
        <f t="shared" si="9"/>
        <v>0</v>
      </c>
    </row>
    <row r="30" spans="2:36" x14ac:dyDescent="0.35">
      <c r="B30" s="9">
        <f>+'Option inputs'!$B$22</f>
        <v>8</v>
      </c>
      <c r="C30" s="14" t="str">
        <f>+'Option inputs'!$C$22</f>
        <v>Option 3B</v>
      </c>
      <c r="D30" s="26"/>
      <c r="E30" s="12" t="s">
        <v>35</v>
      </c>
      <c r="F30" s="23">
        <f t="shared" si="6"/>
        <v>2197518054.5074348</v>
      </c>
      <c r="G30" s="22">
        <f t="shared" si="7"/>
        <v>0</v>
      </c>
      <c r="H30" s="22">
        <f t="shared" si="7"/>
        <v>20799</v>
      </c>
      <c r="I30" s="22">
        <f t="shared" si="7"/>
        <v>6777</v>
      </c>
      <c r="J30" s="22">
        <f t="shared" si="7"/>
        <v>9109</v>
      </c>
      <c r="K30" s="22">
        <f t="shared" si="7"/>
        <v>382454836</v>
      </c>
      <c r="L30" s="22">
        <f t="shared" si="7"/>
        <v>603970010</v>
      </c>
      <c r="M30" s="22">
        <f t="shared" si="7"/>
        <v>12886062</v>
      </c>
      <c r="N30" s="22">
        <f t="shared" si="7"/>
        <v>44548463</v>
      </c>
      <c r="O30" s="22">
        <f t="shared" si="7"/>
        <v>-58587413</v>
      </c>
      <c r="P30" s="22">
        <f t="shared" si="7"/>
        <v>338972552</v>
      </c>
      <c r="Q30" s="22">
        <f t="shared" si="8"/>
        <v>1159863885</v>
      </c>
      <c r="R30" s="22">
        <f t="shared" si="8"/>
        <v>-753383279</v>
      </c>
      <c r="S30" s="22">
        <f t="shared" si="8"/>
        <v>808346009</v>
      </c>
      <c r="T30" s="22">
        <f t="shared" si="8"/>
        <v>-88301885</v>
      </c>
      <c r="U30" s="22">
        <f t="shared" si="8"/>
        <v>-146257624</v>
      </c>
      <c r="V30" s="22">
        <f t="shared" si="8"/>
        <v>70306442</v>
      </c>
      <c r="W30" s="22">
        <f t="shared" si="8"/>
        <v>-260603272</v>
      </c>
      <c r="X30" s="22">
        <f t="shared" si="8"/>
        <v>296763000</v>
      </c>
      <c r="Y30" s="22">
        <f t="shared" si="8"/>
        <v>-1014127089</v>
      </c>
      <c r="Z30" s="22">
        <f t="shared" si="8"/>
        <v>388462649</v>
      </c>
      <c r="AA30" s="22">
        <f t="shared" si="9"/>
        <v>473618059</v>
      </c>
      <c r="AB30" s="22">
        <f t="shared" si="9"/>
        <v>579498243</v>
      </c>
      <c r="AC30" s="22">
        <f t="shared" si="9"/>
        <v>510312534</v>
      </c>
      <c r="AD30" s="22">
        <f t="shared" si="9"/>
        <v>373543534</v>
      </c>
      <c r="AE30" s="22">
        <f t="shared" si="9"/>
        <v>677486275</v>
      </c>
      <c r="AF30" s="22">
        <f t="shared" si="9"/>
        <v>574541009</v>
      </c>
      <c r="AG30" s="22">
        <f t="shared" si="9"/>
        <v>0</v>
      </c>
      <c r="AH30" s="22">
        <f t="shared" si="9"/>
        <v>0</v>
      </c>
      <c r="AI30" s="22">
        <f t="shared" si="9"/>
        <v>0</v>
      </c>
      <c r="AJ30" s="22">
        <f t="shared" si="9"/>
        <v>0</v>
      </c>
    </row>
    <row r="31" spans="2:36" x14ac:dyDescent="0.35">
      <c r="B31" s="9">
        <f>+'Option inputs'!$B$23</f>
        <v>9</v>
      </c>
      <c r="C31" s="14" t="str">
        <f>+'Option inputs'!$C$23</f>
        <v>Option 3C</v>
      </c>
      <c r="D31" s="26"/>
      <c r="E31" s="12" t="s">
        <v>35</v>
      </c>
      <c r="F31" s="23">
        <f t="shared" si="6"/>
        <v>2291488784.555367</v>
      </c>
      <c r="G31" s="22">
        <f t="shared" si="7"/>
        <v>0</v>
      </c>
      <c r="H31" s="22">
        <f t="shared" si="7"/>
        <v>-32512</v>
      </c>
      <c r="I31" s="22">
        <f t="shared" si="7"/>
        <v>-6871</v>
      </c>
      <c r="J31" s="22">
        <f t="shared" si="7"/>
        <v>-16148</v>
      </c>
      <c r="K31" s="22">
        <f t="shared" si="7"/>
        <v>653157468</v>
      </c>
      <c r="L31" s="22">
        <f t="shared" si="7"/>
        <v>645516121</v>
      </c>
      <c r="M31" s="22">
        <f t="shared" si="7"/>
        <v>-6705649</v>
      </c>
      <c r="N31" s="22">
        <f t="shared" si="7"/>
        <v>35931433</v>
      </c>
      <c r="O31" s="22">
        <f t="shared" si="7"/>
        <v>-75587850</v>
      </c>
      <c r="P31" s="22">
        <f t="shared" si="7"/>
        <v>351969045</v>
      </c>
      <c r="Q31" s="22">
        <f t="shared" si="8"/>
        <v>929819749</v>
      </c>
      <c r="R31" s="22">
        <f t="shared" si="8"/>
        <v>-753160198</v>
      </c>
      <c r="S31" s="22">
        <f t="shared" si="8"/>
        <v>808353482</v>
      </c>
      <c r="T31" s="22">
        <f t="shared" si="8"/>
        <v>-88180484</v>
      </c>
      <c r="U31" s="22">
        <f t="shared" si="8"/>
        <v>-146406706</v>
      </c>
      <c r="V31" s="22">
        <f t="shared" si="8"/>
        <v>69900288</v>
      </c>
      <c r="W31" s="22">
        <f t="shared" si="8"/>
        <v>-260710980</v>
      </c>
      <c r="X31" s="22">
        <f t="shared" si="8"/>
        <v>296967460</v>
      </c>
      <c r="Y31" s="22">
        <f t="shared" si="8"/>
        <v>-1014189085</v>
      </c>
      <c r="Z31" s="22">
        <f t="shared" si="8"/>
        <v>388573826</v>
      </c>
      <c r="AA31" s="22">
        <f t="shared" si="9"/>
        <v>473557511</v>
      </c>
      <c r="AB31" s="22">
        <f t="shared" si="9"/>
        <v>579473861</v>
      </c>
      <c r="AC31" s="22">
        <f t="shared" si="9"/>
        <v>510304697</v>
      </c>
      <c r="AD31" s="22">
        <f t="shared" si="9"/>
        <v>373555487</v>
      </c>
      <c r="AE31" s="22">
        <f t="shared" si="9"/>
        <v>677448900</v>
      </c>
      <c r="AF31" s="22">
        <f t="shared" si="9"/>
        <v>574517483</v>
      </c>
      <c r="AG31" s="22">
        <f t="shared" si="9"/>
        <v>0</v>
      </c>
      <c r="AH31" s="22">
        <f t="shared" si="9"/>
        <v>0</v>
      </c>
      <c r="AI31" s="22">
        <f t="shared" si="9"/>
        <v>0</v>
      </c>
      <c r="AJ31" s="22">
        <f t="shared" si="9"/>
        <v>0</v>
      </c>
    </row>
    <row r="32" spans="2:36" x14ac:dyDescent="0.35">
      <c r="B32" s="9">
        <f>+'Option inputs'!$B$24</f>
        <v>10</v>
      </c>
      <c r="C32" s="14" t="str">
        <f>+'Option inputs'!$C$24</f>
        <v>Option 4A</v>
      </c>
      <c r="D32" s="26"/>
      <c r="E32" s="12" t="s">
        <v>35</v>
      </c>
      <c r="F32" s="23">
        <f t="shared" si="6"/>
        <v>1737730002.3907743</v>
      </c>
      <c r="G32" s="22">
        <f t="shared" si="7"/>
        <v>0</v>
      </c>
      <c r="H32" s="22">
        <f t="shared" si="7"/>
        <v>3393</v>
      </c>
      <c r="I32" s="22">
        <f t="shared" si="7"/>
        <v>472</v>
      </c>
      <c r="J32" s="22">
        <f t="shared" si="7"/>
        <v>1743</v>
      </c>
      <c r="K32" s="22">
        <f t="shared" si="7"/>
        <v>374355567</v>
      </c>
      <c r="L32" s="22">
        <f t="shared" si="7"/>
        <v>581589711</v>
      </c>
      <c r="M32" s="22">
        <f t="shared" si="7"/>
        <v>12166978</v>
      </c>
      <c r="N32" s="22">
        <f t="shared" si="7"/>
        <v>42874602</v>
      </c>
      <c r="O32" s="22">
        <f t="shared" si="7"/>
        <v>-56984701</v>
      </c>
      <c r="P32" s="22">
        <f t="shared" si="7"/>
        <v>339291633</v>
      </c>
      <c r="Q32" s="22">
        <f t="shared" si="8"/>
        <v>427376403</v>
      </c>
      <c r="R32" s="22">
        <f t="shared" si="8"/>
        <v>-346373318</v>
      </c>
      <c r="S32" s="22">
        <f t="shared" si="8"/>
        <v>58650616</v>
      </c>
      <c r="T32" s="22">
        <f t="shared" si="8"/>
        <v>265151643</v>
      </c>
      <c r="U32" s="22">
        <f t="shared" si="8"/>
        <v>-10757881</v>
      </c>
      <c r="V32" s="22">
        <f t="shared" si="8"/>
        <v>-112478379</v>
      </c>
      <c r="W32" s="22">
        <f t="shared" si="8"/>
        <v>200352637</v>
      </c>
      <c r="X32" s="22">
        <f t="shared" si="8"/>
        <v>274519786</v>
      </c>
      <c r="Y32" s="22">
        <f t="shared" si="8"/>
        <v>-990337437</v>
      </c>
      <c r="Z32" s="22">
        <f t="shared" si="8"/>
        <v>323973375</v>
      </c>
      <c r="AA32" s="22">
        <f t="shared" si="9"/>
        <v>450351317</v>
      </c>
      <c r="AB32" s="22">
        <f t="shared" si="9"/>
        <v>451363744</v>
      </c>
      <c r="AC32" s="22">
        <f t="shared" si="9"/>
        <v>407069082</v>
      </c>
      <c r="AD32" s="22">
        <f t="shared" si="9"/>
        <v>253353195</v>
      </c>
      <c r="AE32" s="22">
        <f t="shared" si="9"/>
        <v>530783963</v>
      </c>
      <c r="AF32" s="22">
        <f t="shared" si="9"/>
        <v>438561999</v>
      </c>
      <c r="AG32" s="22">
        <f t="shared" si="9"/>
        <v>0</v>
      </c>
      <c r="AH32" s="22">
        <f t="shared" si="9"/>
        <v>0</v>
      </c>
      <c r="AI32" s="22">
        <f t="shared" si="9"/>
        <v>0</v>
      </c>
      <c r="AJ32" s="22">
        <f t="shared" si="9"/>
        <v>0</v>
      </c>
    </row>
    <row r="33" spans="2:36" x14ac:dyDescent="0.35">
      <c r="B33" s="9">
        <f>+'Option inputs'!$B$25</f>
        <v>11</v>
      </c>
      <c r="C33" s="14" t="str">
        <f>+'Option inputs'!$C$25</f>
        <v>Option 4B</v>
      </c>
      <c r="D33" s="26"/>
      <c r="E33" s="12" t="s">
        <v>35</v>
      </c>
      <c r="F33" s="23">
        <f t="shared" si="6"/>
        <v>2437937205.5008979</v>
      </c>
      <c r="G33" s="22">
        <f t="shared" si="7"/>
        <v>0</v>
      </c>
      <c r="H33" s="22">
        <f t="shared" si="7"/>
        <v>1578</v>
      </c>
      <c r="I33" s="22">
        <f t="shared" si="7"/>
        <v>119</v>
      </c>
      <c r="J33" s="22">
        <f t="shared" si="7"/>
        <v>2593</v>
      </c>
      <c r="K33" s="22">
        <f t="shared" si="7"/>
        <v>444704016</v>
      </c>
      <c r="L33" s="22">
        <f t="shared" si="7"/>
        <v>616202260</v>
      </c>
      <c r="M33" s="22">
        <f t="shared" si="7"/>
        <v>10913963</v>
      </c>
      <c r="N33" s="22">
        <f t="shared" si="7"/>
        <v>46638183</v>
      </c>
      <c r="O33" s="22">
        <f t="shared" si="7"/>
        <v>-59255355</v>
      </c>
      <c r="P33" s="22">
        <f t="shared" si="7"/>
        <v>353269039</v>
      </c>
      <c r="Q33" s="22">
        <f t="shared" si="8"/>
        <v>1239181087</v>
      </c>
      <c r="R33" s="22">
        <f t="shared" si="8"/>
        <v>-981137855</v>
      </c>
      <c r="S33" s="22">
        <f t="shared" si="8"/>
        <v>1365571938</v>
      </c>
      <c r="T33" s="22">
        <f t="shared" si="8"/>
        <v>-186553642</v>
      </c>
      <c r="U33" s="22">
        <f t="shared" si="8"/>
        <v>-106759917</v>
      </c>
      <c r="V33" s="22">
        <f t="shared" si="8"/>
        <v>240044992</v>
      </c>
      <c r="W33" s="22">
        <f t="shared" si="8"/>
        <v>-735142724</v>
      </c>
      <c r="X33" s="22">
        <f t="shared" si="8"/>
        <v>357893137</v>
      </c>
      <c r="Y33" s="22">
        <f t="shared" si="8"/>
        <v>-866166791</v>
      </c>
      <c r="Z33" s="22">
        <f t="shared" si="8"/>
        <v>387003167</v>
      </c>
      <c r="AA33" s="22">
        <f t="shared" si="9"/>
        <v>478094860</v>
      </c>
      <c r="AB33" s="22">
        <f t="shared" si="9"/>
        <v>569893907</v>
      </c>
      <c r="AC33" s="22">
        <f t="shared" si="9"/>
        <v>528561381</v>
      </c>
      <c r="AD33" s="22">
        <f t="shared" si="9"/>
        <v>427019239</v>
      </c>
      <c r="AE33" s="22">
        <f t="shared" si="9"/>
        <v>729185851</v>
      </c>
      <c r="AF33" s="22">
        <f t="shared" si="9"/>
        <v>618368530</v>
      </c>
      <c r="AG33" s="22">
        <f t="shared" si="9"/>
        <v>0</v>
      </c>
      <c r="AH33" s="22">
        <f t="shared" si="9"/>
        <v>0</v>
      </c>
      <c r="AI33" s="22">
        <f t="shared" si="9"/>
        <v>0</v>
      </c>
      <c r="AJ33" s="22">
        <f t="shared" si="9"/>
        <v>0</v>
      </c>
    </row>
    <row r="34" spans="2:36" x14ac:dyDescent="0.35">
      <c r="B34" s="9">
        <f>+'Option inputs'!$B$26</f>
        <v>12</v>
      </c>
      <c r="C34" s="14" t="str">
        <f>+'Option inputs'!$C$26</f>
        <v>Option 4C</v>
      </c>
      <c r="D34" s="26"/>
      <c r="E34" s="12" t="s">
        <v>35</v>
      </c>
      <c r="F34" s="23">
        <f t="shared" si="6"/>
        <v>2504793105.4519868</v>
      </c>
      <c r="G34" s="22">
        <f t="shared" si="7"/>
        <v>0</v>
      </c>
      <c r="H34" s="22">
        <f t="shared" si="7"/>
        <v>74164</v>
      </c>
      <c r="I34" s="22">
        <f t="shared" si="7"/>
        <v>25175</v>
      </c>
      <c r="J34" s="22">
        <f t="shared" si="7"/>
        <v>33762</v>
      </c>
      <c r="K34" s="22">
        <f t="shared" si="7"/>
        <v>653210951</v>
      </c>
      <c r="L34" s="22">
        <f t="shared" si="7"/>
        <v>645591897</v>
      </c>
      <c r="M34" s="22">
        <f t="shared" si="7"/>
        <v>-3657431</v>
      </c>
      <c r="N34" s="22">
        <f t="shared" si="7"/>
        <v>39462453</v>
      </c>
      <c r="O34" s="22">
        <f t="shared" si="7"/>
        <v>-71870268</v>
      </c>
      <c r="P34" s="22">
        <f t="shared" si="7"/>
        <v>355709749</v>
      </c>
      <c r="Q34" s="22">
        <f t="shared" si="8"/>
        <v>1214264435</v>
      </c>
      <c r="R34" s="22">
        <f t="shared" si="8"/>
        <v>-1142509379</v>
      </c>
      <c r="S34" s="22">
        <f t="shared" si="8"/>
        <v>1368175687</v>
      </c>
      <c r="T34" s="22">
        <f t="shared" si="8"/>
        <v>-187649975</v>
      </c>
      <c r="U34" s="22">
        <f t="shared" si="8"/>
        <v>-107036043</v>
      </c>
      <c r="V34" s="22">
        <f t="shared" si="8"/>
        <v>240655157</v>
      </c>
      <c r="W34" s="22">
        <f t="shared" si="8"/>
        <v>-734979355</v>
      </c>
      <c r="X34" s="22">
        <f t="shared" si="8"/>
        <v>356749455</v>
      </c>
      <c r="Y34" s="22">
        <f t="shared" si="8"/>
        <v>-868157045</v>
      </c>
      <c r="Z34" s="22">
        <f t="shared" si="8"/>
        <v>390660752</v>
      </c>
      <c r="AA34" s="22">
        <f t="shared" si="9"/>
        <v>475597411</v>
      </c>
      <c r="AB34" s="22">
        <f t="shared" si="9"/>
        <v>570159675</v>
      </c>
      <c r="AC34" s="22">
        <f t="shared" si="9"/>
        <v>529111590</v>
      </c>
      <c r="AD34" s="22">
        <f t="shared" si="9"/>
        <v>426966816</v>
      </c>
      <c r="AE34" s="22">
        <f t="shared" si="9"/>
        <v>729219769</v>
      </c>
      <c r="AF34" s="22">
        <f t="shared" si="9"/>
        <v>618242904</v>
      </c>
      <c r="AG34" s="22">
        <f t="shared" si="9"/>
        <v>0</v>
      </c>
      <c r="AH34" s="22">
        <f t="shared" si="9"/>
        <v>0</v>
      </c>
      <c r="AI34" s="22">
        <f t="shared" si="9"/>
        <v>0</v>
      </c>
      <c r="AJ34" s="22">
        <f t="shared" si="9"/>
        <v>0</v>
      </c>
    </row>
    <row r="35" spans="2:36" x14ac:dyDescent="0.35"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</row>
    <row r="36" spans="2:36" x14ac:dyDescent="0.35">
      <c r="B36" s="5" t="s">
        <v>75</v>
      </c>
      <c r="C36" s="28"/>
      <c r="D36" s="28"/>
      <c r="E36" s="11"/>
      <c r="F36" s="11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</row>
    <row r="37" spans="2:36" x14ac:dyDescent="0.35">
      <c r="B37" s="7" t="s">
        <v>14</v>
      </c>
      <c r="C37" s="10" t="s">
        <v>13</v>
      </c>
      <c r="D37" s="10"/>
      <c r="E37" s="8" t="s">
        <v>22</v>
      </c>
      <c r="F37" s="8" t="s">
        <v>37</v>
      </c>
      <c r="G37" s="13" t="str">
        <f>G$56</f>
        <v>FY 2019-20</v>
      </c>
      <c r="H37" s="13" t="str">
        <f t="shared" ref="H37:AJ37" si="10">H$56</f>
        <v>FY 2020-21</v>
      </c>
      <c r="I37" s="13" t="str">
        <f t="shared" si="10"/>
        <v>FY 2021-22</v>
      </c>
      <c r="J37" s="13" t="str">
        <f t="shared" si="10"/>
        <v>FY 2022-23</v>
      </c>
      <c r="K37" s="13" t="str">
        <f t="shared" si="10"/>
        <v>FY 2023-24</v>
      </c>
      <c r="L37" s="13" t="str">
        <f t="shared" si="10"/>
        <v>FY 2024-25</v>
      </c>
      <c r="M37" s="13" t="str">
        <f t="shared" si="10"/>
        <v>FY 2025-26</v>
      </c>
      <c r="N37" s="13" t="str">
        <f t="shared" si="10"/>
        <v>FY 2026-27</v>
      </c>
      <c r="O37" s="13" t="str">
        <f t="shared" si="10"/>
        <v>FY 2027-28</v>
      </c>
      <c r="P37" s="13" t="str">
        <f t="shared" si="10"/>
        <v>FY 2028-29</v>
      </c>
      <c r="Q37" s="13" t="str">
        <f t="shared" si="10"/>
        <v>FY 2029-30</v>
      </c>
      <c r="R37" s="13" t="str">
        <f t="shared" si="10"/>
        <v>FY 2030-31</v>
      </c>
      <c r="S37" s="13" t="str">
        <f t="shared" si="10"/>
        <v>FY 2031-32</v>
      </c>
      <c r="T37" s="13" t="str">
        <f t="shared" si="10"/>
        <v>FY 2032-33</v>
      </c>
      <c r="U37" s="13" t="str">
        <f t="shared" si="10"/>
        <v>FY 2033-34</v>
      </c>
      <c r="V37" s="13" t="str">
        <f t="shared" si="10"/>
        <v>FY 2034-35</v>
      </c>
      <c r="W37" s="13" t="str">
        <f t="shared" si="10"/>
        <v>FY 2035-36</v>
      </c>
      <c r="X37" s="13" t="str">
        <f t="shared" si="10"/>
        <v>FY 2036-37</v>
      </c>
      <c r="Y37" s="13" t="str">
        <f t="shared" si="10"/>
        <v>FY 2037-38</v>
      </c>
      <c r="Z37" s="13" t="str">
        <f t="shared" si="10"/>
        <v>FY 2038-39</v>
      </c>
      <c r="AA37" s="13" t="str">
        <f t="shared" si="10"/>
        <v>FY 2039-40</v>
      </c>
      <c r="AB37" s="13" t="str">
        <f t="shared" si="10"/>
        <v>FY 2040-41</v>
      </c>
      <c r="AC37" s="13" t="str">
        <f t="shared" si="10"/>
        <v>FY 2041-42</v>
      </c>
      <c r="AD37" s="13" t="str">
        <f t="shared" si="10"/>
        <v>FY 2042-43</v>
      </c>
      <c r="AE37" s="13" t="str">
        <f t="shared" si="10"/>
        <v>FY 2043-44</v>
      </c>
      <c r="AF37" s="13" t="str">
        <f t="shared" si="10"/>
        <v>FY 2044-45</v>
      </c>
      <c r="AG37" s="13" t="str">
        <f t="shared" si="10"/>
        <v>FY 2045-46</v>
      </c>
      <c r="AH37" s="13" t="str">
        <f t="shared" si="10"/>
        <v>FY 2046-47</v>
      </c>
      <c r="AI37" s="13" t="str">
        <f t="shared" si="10"/>
        <v>FY 2047-48</v>
      </c>
      <c r="AJ37" s="13" t="str">
        <f t="shared" si="10"/>
        <v>FY 2048-49</v>
      </c>
    </row>
    <row r="38" spans="2:36" x14ac:dyDescent="0.35">
      <c r="B38" s="9">
        <f>+'Option inputs'!$B$15</f>
        <v>1</v>
      </c>
      <c r="C38" s="14" t="str">
        <f>+'Option inputs'!$C$15</f>
        <v>Option 1A</v>
      </c>
      <c r="D38" s="26"/>
      <c r="E38" s="12" t="s">
        <v>35</v>
      </c>
      <c r="F38" s="23">
        <f t="shared" ref="F38:F49" si="11">NPV(DiscountRate_ACTIVE,G38:AJ38)/(1+DiscountRate_ACTIVE)^(FirstYear-BaseYear-1)</f>
        <v>-658064063.05803406</v>
      </c>
      <c r="G38" s="22">
        <f t="shared" ref="G38:P49" si="12">SUMIF($C$127:$C$155,$C38,G$127:G$155)</f>
        <v>0</v>
      </c>
      <c r="H38" s="22">
        <f t="shared" si="12"/>
        <v>-198750000</v>
      </c>
      <c r="I38" s="22">
        <f t="shared" si="12"/>
        <v>-198750000</v>
      </c>
      <c r="J38" s="22">
        <f t="shared" si="12"/>
        <v>-198750000</v>
      </c>
      <c r="K38" s="22">
        <f t="shared" si="12"/>
        <v>-198750000</v>
      </c>
      <c r="L38" s="22">
        <f t="shared" si="12"/>
        <v>-7950000</v>
      </c>
      <c r="M38" s="22">
        <f t="shared" si="12"/>
        <v>-7950000</v>
      </c>
      <c r="N38" s="22">
        <f t="shared" si="12"/>
        <v>-7950000</v>
      </c>
      <c r="O38" s="22">
        <f t="shared" si="12"/>
        <v>-7950000</v>
      </c>
      <c r="P38" s="22">
        <f t="shared" si="12"/>
        <v>-7950000</v>
      </c>
      <c r="Q38" s="22">
        <f t="shared" ref="Q38:Z49" si="13">SUMIF($C$127:$C$155,$C38,Q$127:Q$155)</f>
        <v>-7950000</v>
      </c>
      <c r="R38" s="22">
        <f t="shared" si="13"/>
        <v>-7950000</v>
      </c>
      <c r="S38" s="22">
        <f t="shared" si="13"/>
        <v>-7950000</v>
      </c>
      <c r="T38" s="22">
        <f t="shared" si="13"/>
        <v>-7950000</v>
      </c>
      <c r="U38" s="22">
        <f t="shared" si="13"/>
        <v>-7950000</v>
      </c>
      <c r="V38" s="22">
        <f t="shared" si="13"/>
        <v>-7950000</v>
      </c>
      <c r="W38" s="22">
        <f t="shared" si="13"/>
        <v>-7950000</v>
      </c>
      <c r="X38" s="22">
        <f t="shared" si="13"/>
        <v>-7950000</v>
      </c>
      <c r="Y38" s="22">
        <f t="shared" si="13"/>
        <v>-7950000</v>
      </c>
      <c r="Z38" s="22">
        <f t="shared" si="13"/>
        <v>-7950000</v>
      </c>
      <c r="AA38" s="22">
        <f t="shared" ref="AA38:AJ49" si="14">SUMIF($C$127:$C$155,$C38,AA$127:AA$155)</f>
        <v>-7950000</v>
      </c>
      <c r="AB38" s="22">
        <f t="shared" si="14"/>
        <v>-7950000</v>
      </c>
      <c r="AC38" s="22">
        <f t="shared" si="14"/>
        <v>-7950000</v>
      </c>
      <c r="AD38" s="22">
        <f t="shared" si="14"/>
        <v>-7950000</v>
      </c>
      <c r="AE38" s="22">
        <f t="shared" si="14"/>
        <v>-7950000</v>
      </c>
      <c r="AF38" s="22">
        <f t="shared" si="14"/>
        <v>441390000</v>
      </c>
      <c r="AG38" s="22">
        <f t="shared" si="14"/>
        <v>0</v>
      </c>
      <c r="AH38" s="22">
        <f t="shared" si="14"/>
        <v>0</v>
      </c>
      <c r="AI38" s="22">
        <f t="shared" si="14"/>
        <v>0</v>
      </c>
      <c r="AJ38" s="22">
        <f t="shared" si="14"/>
        <v>0</v>
      </c>
    </row>
    <row r="39" spans="2:36" x14ac:dyDescent="0.35">
      <c r="B39" s="9">
        <f>+'Option inputs'!$B$16</f>
        <v>2</v>
      </c>
      <c r="C39" s="14" t="str">
        <f>+'Option inputs'!$C$16</f>
        <v>Option 1B</v>
      </c>
      <c r="D39" s="26"/>
      <c r="E39" s="12" t="s">
        <v>35</v>
      </c>
      <c r="F39" s="23">
        <f t="shared" si="11"/>
        <v>-853851644.16891778</v>
      </c>
      <c r="G39" s="22">
        <f t="shared" si="12"/>
        <v>0</v>
      </c>
      <c r="H39" s="22">
        <f t="shared" si="12"/>
        <v>-239250000</v>
      </c>
      <c r="I39" s="22">
        <f t="shared" si="12"/>
        <v>-239250000</v>
      </c>
      <c r="J39" s="22">
        <f t="shared" si="12"/>
        <v>-239250000</v>
      </c>
      <c r="K39" s="22">
        <f t="shared" si="12"/>
        <v>-239250000</v>
      </c>
      <c r="L39" s="22">
        <f t="shared" si="12"/>
        <v>-9570000</v>
      </c>
      <c r="M39" s="22">
        <f t="shared" si="12"/>
        <v>-9570000</v>
      </c>
      <c r="N39" s="22">
        <f t="shared" si="12"/>
        <v>-9570000</v>
      </c>
      <c r="O39" s="22">
        <f t="shared" si="12"/>
        <v>-68070000</v>
      </c>
      <c r="P39" s="22">
        <f t="shared" si="12"/>
        <v>-68070000</v>
      </c>
      <c r="Q39" s="22">
        <f t="shared" si="13"/>
        <v>-10740000</v>
      </c>
      <c r="R39" s="22">
        <f t="shared" si="13"/>
        <v>-10740000</v>
      </c>
      <c r="S39" s="22">
        <f t="shared" si="13"/>
        <v>-10740000</v>
      </c>
      <c r="T39" s="22">
        <f t="shared" si="13"/>
        <v>-10740000</v>
      </c>
      <c r="U39" s="22">
        <f t="shared" si="13"/>
        <v>-10740000</v>
      </c>
      <c r="V39" s="22">
        <f t="shared" si="13"/>
        <v>-10740000</v>
      </c>
      <c r="W39" s="22">
        <f t="shared" si="13"/>
        <v>-10740000</v>
      </c>
      <c r="X39" s="22">
        <f t="shared" si="13"/>
        <v>-10740000</v>
      </c>
      <c r="Y39" s="22">
        <f t="shared" si="13"/>
        <v>-10740000</v>
      </c>
      <c r="Z39" s="22">
        <f t="shared" si="13"/>
        <v>-10740000</v>
      </c>
      <c r="AA39" s="22">
        <f t="shared" si="14"/>
        <v>-10740000</v>
      </c>
      <c r="AB39" s="22">
        <f t="shared" si="14"/>
        <v>-10740000</v>
      </c>
      <c r="AC39" s="22">
        <f t="shared" si="14"/>
        <v>-10740000</v>
      </c>
      <c r="AD39" s="22">
        <f t="shared" si="14"/>
        <v>-10740000</v>
      </c>
      <c r="AE39" s="22">
        <f t="shared" si="14"/>
        <v>-10740000</v>
      </c>
      <c r="AF39" s="22">
        <f t="shared" si="14"/>
        <v>602760000</v>
      </c>
      <c r="AG39" s="22">
        <f t="shared" si="14"/>
        <v>0</v>
      </c>
      <c r="AH39" s="22">
        <f t="shared" si="14"/>
        <v>0</v>
      </c>
      <c r="AI39" s="22">
        <f t="shared" si="14"/>
        <v>0</v>
      </c>
      <c r="AJ39" s="22">
        <f t="shared" si="14"/>
        <v>0</v>
      </c>
    </row>
    <row r="40" spans="2:36" x14ac:dyDescent="0.35">
      <c r="B40" s="9">
        <f>+'Option inputs'!$B$17</f>
        <v>3</v>
      </c>
      <c r="C40" s="14" t="str">
        <f>+'Option inputs'!$C$17</f>
        <v>Option 1C</v>
      </c>
      <c r="D40" s="26"/>
      <c r="E40" s="12" t="s">
        <v>35</v>
      </c>
      <c r="F40" s="23">
        <f t="shared" si="11"/>
        <v>-879063634.71238124</v>
      </c>
      <c r="G40" s="19">
        <f t="shared" si="12"/>
        <v>0</v>
      </c>
      <c r="H40" s="19">
        <f t="shared" si="12"/>
        <v>-265000000</v>
      </c>
      <c r="I40" s="19">
        <f t="shared" si="12"/>
        <v>-265000000</v>
      </c>
      <c r="J40" s="19">
        <f t="shared" si="12"/>
        <v>-265000000</v>
      </c>
      <c r="K40" s="19">
        <f t="shared" si="12"/>
        <v>-265000000</v>
      </c>
      <c r="L40" s="19">
        <f t="shared" si="12"/>
        <v>-10600000</v>
      </c>
      <c r="M40" s="19">
        <f t="shared" si="12"/>
        <v>-10600000</v>
      </c>
      <c r="N40" s="19">
        <f t="shared" si="12"/>
        <v>-10600000</v>
      </c>
      <c r="O40" s="19">
        <f t="shared" si="12"/>
        <v>-10600000</v>
      </c>
      <c r="P40" s="19">
        <f t="shared" si="12"/>
        <v>-10600000</v>
      </c>
      <c r="Q40" s="19">
        <f t="shared" si="13"/>
        <v>-10600000</v>
      </c>
      <c r="R40" s="19">
        <f t="shared" si="13"/>
        <v>-10600000</v>
      </c>
      <c r="S40" s="19">
        <f t="shared" si="13"/>
        <v>-10600000</v>
      </c>
      <c r="T40" s="19">
        <f t="shared" si="13"/>
        <v>-10600000</v>
      </c>
      <c r="U40" s="19">
        <f t="shared" si="13"/>
        <v>-10600000</v>
      </c>
      <c r="V40" s="19">
        <f t="shared" si="13"/>
        <v>-10600000</v>
      </c>
      <c r="W40" s="19">
        <f t="shared" si="13"/>
        <v>-10600000</v>
      </c>
      <c r="X40" s="19">
        <f t="shared" si="13"/>
        <v>-10600000</v>
      </c>
      <c r="Y40" s="19">
        <f t="shared" si="13"/>
        <v>-10600000</v>
      </c>
      <c r="Z40" s="19">
        <f t="shared" si="13"/>
        <v>-10600000</v>
      </c>
      <c r="AA40" s="19">
        <f t="shared" si="14"/>
        <v>-10600000</v>
      </c>
      <c r="AB40" s="19">
        <f t="shared" si="14"/>
        <v>-10600000</v>
      </c>
      <c r="AC40" s="19">
        <f t="shared" si="14"/>
        <v>-10600000</v>
      </c>
      <c r="AD40" s="19">
        <f t="shared" si="14"/>
        <v>-10600000</v>
      </c>
      <c r="AE40" s="19">
        <f t="shared" si="14"/>
        <v>-10600000</v>
      </c>
      <c r="AF40" s="19">
        <f t="shared" si="14"/>
        <v>581625000</v>
      </c>
      <c r="AG40" s="19">
        <f t="shared" si="14"/>
        <v>0</v>
      </c>
      <c r="AH40" s="19">
        <f t="shared" si="14"/>
        <v>0</v>
      </c>
      <c r="AI40" s="19">
        <f t="shared" si="14"/>
        <v>0</v>
      </c>
      <c r="AJ40" s="19">
        <f t="shared" si="14"/>
        <v>0</v>
      </c>
    </row>
    <row r="41" spans="2:36" x14ac:dyDescent="0.35">
      <c r="B41" s="9">
        <f>+'Option inputs'!$B$18</f>
        <v>4</v>
      </c>
      <c r="C41" s="14" t="str">
        <f>+'Option inputs'!$C$18</f>
        <v>Option 2A</v>
      </c>
      <c r="D41" s="26"/>
      <c r="E41" s="12" t="s">
        <v>35</v>
      </c>
      <c r="F41" s="23">
        <f t="shared" si="11"/>
        <v>-1035252441.2367976</v>
      </c>
      <c r="G41" s="19">
        <f t="shared" si="12"/>
        <v>0</v>
      </c>
      <c r="H41" s="19">
        <f t="shared" si="12"/>
        <v>-311250000</v>
      </c>
      <c r="I41" s="19">
        <f t="shared" si="12"/>
        <v>-311250000</v>
      </c>
      <c r="J41" s="19">
        <f t="shared" si="12"/>
        <v>-311250000</v>
      </c>
      <c r="K41" s="19">
        <f t="shared" si="12"/>
        <v>-311250000</v>
      </c>
      <c r="L41" s="19">
        <f t="shared" si="12"/>
        <v>-12450000</v>
      </c>
      <c r="M41" s="19">
        <f t="shared" si="12"/>
        <v>-12450000</v>
      </c>
      <c r="N41" s="19">
        <f t="shared" si="12"/>
        <v>-12450000</v>
      </c>
      <c r="O41" s="19">
        <f t="shared" si="12"/>
        <v>-12450000</v>
      </c>
      <c r="P41" s="19">
        <f t="shared" si="12"/>
        <v>-12450000</v>
      </c>
      <c r="Q41" s="19">
        <f t="shared" si="13"/>
        <v>-12450000</v>
      </c>
      <c r="R41" s="19">
        <f t="shared" si="13"/>
        <v>-12450000</v>
      </c>
      <c r="S41" s="19">
        <f t="shared" si="13"/>
        <v>-12450000</v>
      </c>
      <c r="T41" s="19">
        <f t="shared" si="13"/>
        <v>-12450000</v>
      </c>
      <c r="U41" s="19">
        <f t="shared" si="13"/>
        <v>-12450000</v>
      </c>
      <c r="V41" s="19">
        <f t="shared" si="13"/>
        <v>-12450000</v>
      </c>
      <c r="W41" s="19">
        <f t="shared" si="13"/>
        <v>-12450000</v>
      </c>
      <c r="X41" s="19">
        <f t="shared" si="13"/>
        <v>-12450000</v>
      </c>
      <c r="Y41" s="19">
        <f t="shared" si="13"/>
        <v>-12450000</v>
      </c>
      <c r="Z41" s="19">
        <f t="shared" si="13"/>
        <v>-12450000</v>
      </c>
      <c r="AA41" s="19">
        <f t="shared" si="14"/>
        <v>-12450000</v>
      </c>
      <c r="AB41" s="19">
        <f t="shared" si="14"/>
        <v>-12450000</v>
      </c>
      <c r="AC41" s="19">
        <f t="shared" si="14"/>
        <v>-12450000</v>
      </c>
      <c r="AD41" s="19">
        <f t="shared" si="14"/>
        <v>-12450000</v>
      </c>
      <c r="AE41" s="19">
        <f t="shared" si="14"/>
        <v>-12450000</v>
      </c>
      <c r="AF41" s="19">
        <f t="shared" si="14"/>
        <v>671535000</v>
      </c>
      <c r="AG41" s="19">
        <f t="shared" si="14"/>
        <v>0</v>
      </c>
      <c r="AH41" s="19">
        <f t="shared" si="14"/>
        <v>0</v>
      </c>
      <c r="AI41" s="19">
        <f t="shared" si="14"/>
        <v>0</v>
      </c>
      <c r="AJ41" s="19">
        <f t="shared" si="14"/>
        <v>0</v>
      </c>
    </row>
    <row r="42" spans="2:36" x14ac:dyDescent="0.35">
      <c r="B42" s="9">
        <f>+'Option inputs'!$B$19</f>
        <v>5</v>
      </c>
      <c r="C42" s="14" t="str">
        <f>+'Option inputs'!$C$19</f>
        <v>Option 2B</v>
      </c>
      <c r="D42" s="26"/>
      <c r="E42" s="12" t="s">
        <v>35</v>
      </c>
      <c r="F42" s="23">
        <f t="shared" si="11"/>
        <v>-1292153563.6270251</v>
      </c>
      <c r="G42" s="19">
        <f t="shared" si="12"/>
        <v>0</v>
      </c>
      <c r="H42" s="19">
        <f t="shared" si="12"/>
        <v>-355750000</v>
      </c>
      <c r="I42" s="19">
        <f t="shared" si="12"/>
        <v>-355750000</v>
      </c>
      <c r="J42" s="19">
        <f t="shared" si="12"/>
        <v>-355750000</v>
      </c>
      <c r="K42" s="19">
        <f t="shared" si="12"/>
        <v>-355750000</v>
      </c>
      <c r="L42" s="19">
        <f t="shared" si="12"/>
        <v>-14230000</v>
      </c>
      <c r="M42" s="19">
        <f t="shared" si="12"/>
        <v>-14230000</v>
      </c>
      <c r="N42" s="19">
        <f t="shared" si="12"/>
        <v>-14230000</v>
      </c>
      <c r="O42" s="19">
        <f t="shared" si="12"/>
        <v>-118230000</v>
      </c>
      <c r="P42" s="19">
        <f t="shared" si="12"/>
        <v>-118230000</v>
      </c>
      <c r="Q42" s="19">
        <f t="shared" si="13"/>
        <v>-16310000</v>
      </c>
      <c r="R42" s="19">
        <f t="shared" si="13"/>
        <v>-16310000</v>
      </c>
      <c r="S42" s="19">
        <f t="shared" si="13"/>
        <v>-16310000</v>
      </c>
      <c r="T42" s="19">
        <f t="shared" si="13"/>
        <v>-16310000</v>
      </c>
      <c r="U42" s="19">
        <f t="shared" si="13"/>
        <v>-16310000</v>
      </c>
      <c r="V42" s="19">
        <f t="shared" si="13"/>
        <v>-16310000</v>
      </c>
      <c r="W42" s="19">
        <f t="shared" si="13"/>
        <v>-16310000</v>
      </c>
      <c r="X42" s="19">
        <f t="shared" si="13"/>
        <v>-16310000</v>
      </c>
      <c r="Y42" s="19">
        <f t="shared" si="13"/>
        <v>-16310000</v>
      </c>
      <c r="Z42" s="19">
        <f t="shared" si="13"/>
        <v>-16310000</v>
      </c>
      <c r="AA42" s="19">
        <f t="shared" si="14"/>
        <v>-16310000</v>
      </c>
      <c r="AB42" s="19">
        <f t="shared" si="14"/>
        <v>-16310000</v>
      </c>
      <c r="AC42" s="19">
        <f t="shared" si="14"/>
        <v>-16310000</v>
      </c>
      <c r="AD42" s="19">
        <f t="shared" si="14"/>
        <v>-16310000</v>
      </c>
      <c r="AE42" s="19">
        <f t="shared" si="14"/>
        <v>-16310000</v>
      </c>
      <c r="AF42" s="19">
        <f t="shared" si="14"/>
        <v>897815000</v>
      </c>
      <c r="AG42" s="19">
        <f t="shared" si="14"/>
        <v>0</v>
      </c>
      <c r="AH42" s="19">
        <f t="shared" si="14"/>
        <v>0</v>
      </c>
      <c r="AI42" s="19">
        <f t="shared" si="14"/>
        <v>0</v>
      </c>
      <c r="AJ42" s="19">
        <f t="shared" si="14"/>
        <v>0</v>
      </c>
    </row>
    <row r="43" spans="2:36" x14ac:dyDescent="0.35">
      <c r="B43" s="9">
        <f>+'Option inputs'!$B$20</f>
        <v>6</v>
      </c>
      <c r="C43" s="14" t="str">
        <f>+'Option inputs'!$C$20</f>
        <v>Option 2C</v>
      </c>
      <c r="D43" s="26"/>
      <c r="E43" s="12" t="s">
        <v>35</v>
      </c>
      <c r="F43" s="23">
        <f t="shared" si="11"/>
        <v>-1150889594.0847192</v>
      </c>
      <c r="G43" s="19">
        <f t="shared" si="12"/>
        <v>0</v>
      </c>
      <c r="H43" s="19">
        <f t="shared" si="12"/>
        <v>-346750000</v>
      </c>
      <c r="I43" s="19">
        <f t="shared" si="12"/>
        <v>-346750000</v>
      </c>
      <c r="J43" s="19">
        <f t="shared" si="12"/>
        <v>-346750000</v>
      </c>
      <c r="K43" s="19">
        <f t="shared" si="12"/>
        <v>-346750000</v>
      </c>
      <c r="L43" s="19">
        <f t="shared" si="12"/>
        <v>-13870000</v>
      </c>
      <c r="M43" s="19">
        <f t="shared" si="12"/>
        <v>-13870000</v>
      </c>
      <c r="N43" s="19">
        <f t="shared" si="12"/>
        <v>-13870000</v>
      </c>
      <c r="O43" s="19">
        <f t="shared" si="12"/>
        <v>-13870000</v>
      </c>
      <c r="P43" s="19">
        <f t="shared" si="12"/>
        <v>-13870000</v>
      </c>
      <c r="Q43" s="19">
        <f t="shared" si="13"/>
        <v>-13870000</v>
      </c>
      <c r="R43" s="19">
        <f t="shared" si="13"/>
        <v>-13870000</v>
      </c>
      <c r="S43" s="19">
        <f t="shared" si="13"/>
        <v>-13870000</v>
      </c>
      <c r="T43" s="19">
        <f t="shared" si="13"/>
        <v>-13870000</v>
      </c>
      <c r="U43" s="19">
        <f t="shared" si="13"/>
        <v>-13870000</v>
      </c>
      <c r="V43" s="19">
        <f t="shared" si="13"/>
        <v>-13870000</v>
      </c>
      <c r="W43" s="19">
        <f t="shared" si="13"/>
        <v>-13870000</v>
      </c>
      <c r="X43" s="19">
        <f t="shared" si="13"/>
        <v>-13870000</v>
      </c>
      <c r="Y43" s="19">
        <f t="shared" si="13"/>
        <v>-13870000</v>
      </c>
      <c r="Z43" s="19">
        <f t="shared" si="13"/>
        <v>-13870000</v>
      </c>
      <c r="AA43" s="19">
        <f t="shared" si="14"/>
        <v>-13870000</v>
      </c>
      <c r="AB43" s="19">
        <f t="shared" si="14"/>
        <v>-13870000</v>
      </c>
      <c r="AC43" s="19">
        <f t="shared" si="14"/>
        <v>-13870000</v>
      </c>
      <c r="AD43" s="19">
        <f t="shared" si="14"/>
        <v>-13870000</v>
      </c>
      <c r="AE43" s="19">
        <f t="shared" si="14"/>
        <v>-13870000</v>
      </c>
      <c r="AF43" s="19">
        <f t="shared" si="14"/>
        <v>758355000</v>
      </c>
      <c r="AG43" s="19">
        <f t="shared" si="14"/>
        <v>0</v>
      </c>
      <c r="AH43" s="19">
        <f t="shared" si="14"/>
        <v>0</v>
      </c>
      <c r="AI43" s="19">
        <f t="shared" si="14"/>
        <v>0</v>
      </c>
      <c r="AJ43" s="19">
        <f t="shared" si="14"/>
        <v>0</v>
      </c>
    </row>
    <row r="44" spans="2:36" x14ac:dyDescent="0.35">
      <c r="B44" s="9">
        <f>+'Option inputs'!$B$21</f>
        <v>7</v>
      </c>
      <c r="C44" s="14" t="str">
        <f>+'Option inputs'!$C$21</f>
        <v>Option 3A</v>
      </c>
      <c r="D44" s="26"/>
      <c r="E44" s="12" t="s">
        <v>35</v>
      </c>
      <c r="F44" s="23">
        <f t="shared" si="11"/>
        <v>-839045186.4983933</v>
      </c>
      <c r="G44" s="19">
        <f t="shared" si="12"/>
        <v>0</v>
      </c>
      <c r="H44" s="19">
        <f t="shared" si="12"/>
        <v>-253500000</v>
      </c>
      <c r="I44" s="19">
        <f t="shared" si="12"/>
        <v>-253500000</v>
      </c>
      <c r="J44" s="19">
        <f t="shared" si="12"/>
        <v>-253500000</v>
      </c>
      <c r="K44" s="19">
        <f t="shared" si="12"/>
        <v>-253500000</v>
      </c>
      <c r="L44" s="19">
        <f t="shared" si="12"/>
        <v>-10140000</v>
      </c>
      <c r="M44" s="19">
        <f t="shared" si="12"/>
        <v>-10140000</v>
      </c>
      <c r="N44" s="19">
        <f t="shared" si="12"/>
        <v>-10140000</v>
      </c>
      <c r="O44" s="19">
        <f t="shared" si="12"/>
        <v>-10140000</v>
      </c>
      <c r="P44" s="19">
        <f t="shared" si="12"/>
        <v>-10140000</v>
      </c>
      <c r="Q44" s="19">
        <f t="shared" si="13"/>
        <v>-10140000</v>
      </c>
      <c r="R44" s="19">
        <f t="shared" si="13"/>
        <v>-10140000</v>
      </c>
      <c r="S44" s="19">
        <f t="shared" si="13"/>
        <v>-10140000</v>
      </c>
      <c r="T44" s="19">
        <f t="shared" si="13"/>
        <v>-10140000</v>
      </c>
      <c r="U44" s="19">
        <f t="shared" si="13"/>
        <v>-10140000</v>
      </c>
      <c r="V44" s="19">
        <f t="shared" si="13"/>
        <v>-10140000</v>
      </c>
      <c r="W44" s="19">
        <f t="shared" si="13"/>
        <v>-10140000</v>
      </c>
      <c r="X44" s="19">
        <f t="shared" si="13"/>
        <v>-10140000</v>
      </c>
      <c r="Y44" s="19">
        <f t="shared" si="13"/>
        <v>-10140000</v>
      </c>
      <c r="Z44" s="19">
        <f t="shared" si="13"/>
        <v>-10140000</v>
      </c>
      <c r="AA44" s="19">
        <f t="shared" si="14"/>
        <v>-10140000</v>
      </c>
      <c r="AB44" s="19">
        <f t="shared" si="14"/>
        <v>-10140000</v>
      </c>
      <c r="AC44" s="19">
        <f t="shared" si="14"/>
        <v>-10140000</v>
      </c>
      <c r="AD44" s="19">
        <f t="shared" si="14"/>
        <v>-10140000</v>
      </c>
      <c r="AE44" s="19">
        <f t="shared" si="14"/>
        <v>-10140000</v>
      </c>
      <c r="AF44" s="19">
        <f t="shared" si="14"/>
        <v>564225000</v>
      </c>
      <c r="AG44" s="19">
        <f t="shared" si="14"/>
        <v>0</v>
      </c>
      <c r="AH44" s="19">
        <f t="shared" si="14"/>
        <v>0</v>
      </c>
      <c r="AI44" s="19">
        <f t="shared" si="14"/>
        <v>0</v>
      </c>
      <c r="AJ44" s="19">
        <f t="shared" si="14"/>
        <v>0</v>
      </c>
    </row>
    <row r="45" spans="2:36" x14ac:dyDescent="0.35">
      <c r="B45" s="9">
        <f>+'Option inputs'!$B$22</f>
        <v>8</v>
      </c>
      <c r="C45" s="14" t="str">
        <f>+'Option inputs'!$C$22</f>
        <v>Option 3B</v>
      </c>
      <c r="D45" s="26"/>
      <c r="E45" s="12" t="s">
        <v>35</v>
      </c>
      <c r="F45" s="23">
        <f t="shared" si="11"/>
        <v>-1101037148.0829763</v>
      </c>
      <c r="G45" s="19">
        <f t="shared" si="12"/>
        <v>0</v>
      </c>
      <c r="H45" s="19">
        <f t="shared" si="12"/>
        <v>-305250000</v>
      </c>
      <c r="I45" s="19">
        <f t="shared" si="12"/>
        <v>-305250000</v>
      </c>
      <c r="J45" s="19">
        <f t="shared" si="12"/>
        <v>-305250000</v>
      </c>
      <c r="K45" s="19">
        <f t="shared" si="12"/>
        <v>-305250000</v>
      </c>
      <c r="L45" s="19">
        <f t="shared" si="12"/>
        <v>-12210000</v>
      </c>
      <c r="M45" s="19">
        <f t="shared" si="12"/>
        <v>-12210000</v>
      </c>
      <c r="N45" s="19">
        <f t="shared" si="12"/>
        <v>-67543333.333333343</v>
      </c>
      <c r="O45" s="19">
        <f t="shared" si="12"/>
        <v>-67543333.333333343</v>
      </c>
      <c r="P45" s="19">
        <f t="shared" si="12"/>
        <v>-67543333.333333343</v>
      </c>
      <c r="Q45" s="19">
        <f t="shared" si="13"/>
        <v>-13870000</v>
      </c>
      <c r="R45" s="19">
        <f t="shared" si="13"/>
        <v>-13870000</v>
      </c>
      <c r="S45" s="19">
        <f t="shared" si="13"/>
        <v>-13870000</v>
      </c>
      <c r="T45" s="19">
        <f t="shared" si="13"/>
        <v>-13870000</v>
      </c>
      <c r="U45" s="19">
        <f t="shared" si="13"/>
        <v>-13870000</v>
      </c>
      <c r="V45" s="19">
        <f t="shared" si="13"/>
        <v>-13870000</v>
      </c>
      <c r="W45" s="19">
        <f t="shared" si="13"/>
        <v>-13870000</v>
      </c>
      <c r="X45" s="19">
        <f t="shared" si="13"/>
        <v>-13870000</v>
      </c>
      <c r="Y45" s="19">
        <f t="shared" si="13"/>
        <v>-13870000</v>
      </c>
      <c r="Z45" s="19">
        <f t="shared" si="13"/>
        <v>-13870000</v>
      </c>
      <c r="AA45" s="19">
        <f t="shared" si="14"/>
        <v>-13870000</v>
      </c>
      <c r="AB45" s="19">
        <f t="shared" si="14"/>
        <v>-13870000</v>
      </c>
      <c r="AC45" s="19">
        <f t="shared" si="14"/>
        <v>-13870000</v>
      </c>
      <c r="AD45" s="19">
        <f t="shared" si="14"/>
        <v>-13870000</v>
      </c>
      <c r="AE45" s="19">
        <f t="shared" si="14"/>
        <v>-13870000</v>
      </c>
      <c r="AF45" s="19">
        <f t="shared" si="14"/>
        <v>780155000</v>
      </c>
      <c r="AG45" s="19">
        <f t="shared" si="14"/>
        <v>0</v>
      </c>
      <c r="AH45" s="19">
        <f t="shared" si="14"/>
        <v>0</v>
      </c>
      <c r="AI45" s="19">
        <f t="shared" si="14"/>
        <v>0</v>
      </c>
      <c r="AJ45" s="19">
        <f t="shared" si="14"/>
        <v>0</v>
      </c>
    </row>
    <row r="46" spans="2:36" x14ac:dyDescent="0.35">
      <c r="B46" s="9">
        <f>+'Option inputs'!$B$23</f>
        <v>9</v>
      </c>
      <c r="C46" s="14" t="str">
        <f>+'Option inputs'!$C$23</f>
        <v>Option 3C</v>
      </c>
      <c r="D46" s="26"/>
      <c r="E46" s="12" t="s">
        <v>35</v>
      </c>
      <c r="F46" s="23">
        <f t="shared" si="11"/>
        <v>-1123462348.3662472</v>
      </c>
      <c r="G46" s="19">
        <f t="shared" si="12"/>
        <v>0</v>
      </c>
      <c r="H46" s="19">
        <f t="shared" si="12"/>
        <v>-338750000</v>
      </c>
      <c r="I46" s="19">
        <f t="shared" si="12"/>
        <v>-338750000</v>
      </c>
      <c r="J46" s="19">
        <f t="shared" si="12"/>
        <v>-338750000</v>
      </c>
      <c r="K46" s="19">
        <f t="shared" si="12"/>
        <v>-338750000</v>
      </c>
      <c r="L46" s="19">
        <f t="shared" si="12"/>
        <v>-13550000</v>
      </c>
      <c r="M46" s="19">
        <f t="shared" si="12"/>
        <v>-13550000</v>
      </c>
      <c r="N46" s="19">
        <f t="shared" si="12"/>
        <v>-13550000</v>
      </c>
      <c r="O46" s="19">
        <f t="shared" si="12"/>
        <v>-13550000</v>
      </c>
      <c r="P46" s="19">
        <f t="shared" si="12"/>
        <v>-13550000</v>
      </c>
      <c r="Q46" s="19">
        <f t="shared" si="13"/>
        <v>-13550000</v>
      </c>
      <c r="R46" s="19">
        <f t="shared" si="13"/>
        <v>-13550000</v>
      </c>
      <c r="S46" s="19">
        <f t="shared" si="13"/>
        <v>-13550000</v>
      </c>
      <c r="T46" s="19">
        <f t="shared" si="13"/>
        <v>-13550000</v>
      </c>
      <c r="U46" s="19">
        <f t="shared" si="13"/>
        <v>-13550000</v>
      </c>
      <c r="V46" s="19">
        <f t="shared" si="13"/>
        <v>-13550000</v>
      </c>
      <c r="W46" s="19">
        <f t="shared" si="13"/>
        <v>-13550000</v>
      </c>
      <c r="X46" s="19">
        <f t="shared" si="13"/>
        <v>-13550000</v>
      </c>
      <c r="Y46" s="19">
        <f t="shared" si="13"/>
        <v>-13550000</v>
      </c>
      <c r="Z46" s="19">
        <f t="shared" si="13"/>
        <v>-13550000</v>
      </c>
      <c r="AA46" s="19">
        <f t="shared" si="14"/>
        <v>-13550000</v>
      </c>
      <c r="AB46" s="19">
        <f t="shared" si="14"/>
        <v>-13550000</v>
      </c>
      <c r="AC46" s="19">
        <f t="shared" si="14"/>
        <v>-13550000</v>
      </c>
      <c r="AD46" s="19">
        <f t="shared" si="14"/>
        <v>-13550000</v>
      </c>
      <c r="AE46" s="19">
        <f t="shared" si="14"/>
        <v>-13550000</v>
      </c>
      <c r="AF46" s="19">
        <f t="shared" si="14"/>
        <v>744525000</v>
      </c>
      <c r="AG46" s="19">
        <f t="shared" si="14"/>
        <v>0</v>
      </c>
      <c r="AH46" s="19">
        <f t="shared" si="14"/>
        <v>0</v>
      </c>
      <c r="AI46" s="19">
        <f t="shared" si="14"/>
        <v>0</v>
      </c>
      <c r="AJ46" s="19">
        <f t="shared" si="14"/>
        <v>0</v>
      </c>
    </row>
    <row r="47" spans="2:36" x14ac:dyDescent="0.35">
      <c r="B47" s="9">
        <f>+'Option inputs'!$B$24</f>
        <v>10</v>
      </c>
      <c r="C47" s="14" t="str">
        <f>+'Option inputs'!$C$24</f>
        <v>Option 4A</v>
      </c>
      <c r="D47" s="26"/>
      <c r="E47" s="12" t="s">
        <v>35</v>
      </c>
      <c r="F47" s="23">
        <f t="shared" si="11"/>
        <v>-1081421753.1963625</v>
      </c>
      <c r="G47" s="19">
        <f t="shared" si="12"/>
        <v>0</v>
      </c>
      <c r="H47" s="19">
        <f t="shared" si="12"/>
        <v>-253750000</v>
      </c>
      <c r="I47" s="19">
        <f t="shared" si="12"/>
        <v>-332750000</v>
      </c>
      <c r="J47" s="19">
        <f t="shared" si="12"/>
        <v>-332750000</v>
      </c>
      <c r="K47" s="19">
        <f t="shared" si="12"/>
        <v>-332750000</v>
      </c>
      <c r="L47" s="19">
        <f t="shared" si="12"/>
        <v>-89150000</v>
      </c>
      <c r="M47" s="19">
        <f t="shared" si="12"/>
        <v>-13310000</v>
      </c>
      <c r="N47" s="19">
        <f t="shared" si="12"/>
        <v>-13310000</v>
      </c>
      <c r="O47" s="19">
        <f t="shared" si="12"/>
        <v>-13310000</v>
      </c>
      <c r="P47" s="19">
        <f t="shared" si="12"/>
        <v>-13310000</v>
      </c>
      <c r="Q47" s="19">
        <f t="shared" si="13"/>
        <v>-13310000</v>
      </c>
      <c r="R47" s="19">
        <f t="shared" si="13"/>
        <v>-13310000</v>
      </c>
      <c r="S47" s="19">
        <f t="shared" si="13"/>
        <v>-13310000</v>
      </c>
      <c r="T47" s="19">
        <f t="shared" si="13"/>
        <v>-13310000</v>
      </c>
      <c r="U47" s="19">
        <f t="shared" si="13"/>
        <v>-13310000</v>
      </c>
      <c r="V47" s="19">
        <f t="shared" si="13"/>
        <v>-13310000</v>
      </c>
      <c r="W47" s="19">
        <f t="shared" si="13"/>
        <v>-13310000</v>
      </c>
      <c r="X47" s="19">
        <f t="shared" si="13"/>
        <v>-13310000</v>
      </c>
      <c r="Y47" s="19">
        <f t="shared" si="13"/>
        <v>-13310000</v>
      </c>
      <c r="Z47" s="19">
        <f t="shared" si="13"/>
        <v>-13310000</v>
      </c>
      <c r="AA47" s="19">
        <f t="shared" si="14"/>
        <v>-13310000</v>
      </c>
      <c r="AB47" s="19">
        <f t="shared" si="14"/>
        <v>-13310000</v>
      </c>
      <c r="AC47" s="19">
        <f t="shared" si="14"/>
        <v>-13310000</v>
      </c>
      <c r="AD47" s="19">
        <f t="shared" si="14"/>
        <v>-13310000</v>
      </c>
      <c r="AE47" s="19">
        <f t="shared" si="14"/>
        <v>-13310000</v>
      </c>
      <c r="AF47" s="19">
        <f t="shared" si="14"/>
        <v>750130000</v>
      </c>
      <c r="AG47" s="19">
        <f t="shared" si="14"/>
        <v>0</v>
      </c>
      <c r="AH47" s="19">
        <f t="shared" si="14"/>
        <v>0</v>
      </c>
      <c r="AI47" s="19">
        <f t="shared" si="14"/>
        <v>0</v>
      </c>
      <c r="AJ47" s="19">
        <f t="shared" si="14"/>
        <v>0</v>
      </c>
    </row>
    <row r="48" spans="2:36" x14ac:dyDescent="0.35">
      <c r="B48" s="9">
        <f>+'Option inputs'!$B$25</f>
        <v>11</v>
      </c>
      <c r="C48" s="14" t="str">
        <f>+'Option inputs'!$C$25</f>
        <v>Option 4B</v>
      </c>
      <c r="D48" s="26"/>
      <c r="E48" s="12" t="s">
        <v>35</v>
      </c>
      <c r="F48" s="23">
        <f t="shared" si="11"/>
        <v>-1468334902.1262469</v>
      </c>
      <c r="G48" s="19">
        <f t="shared" si="12"/>
        <v>0</v>
      </c>
      <c r="H48" s="19">
        <f t="shared" si="12"/>
        <v>-305500000</v>
      </c>
      <c r="I48" s="19">
        <f t="shared" si="12"/>
        <v>-393500000</v>
      </c>
      <c r="J48" s="19">
        <f t="shared" si="12"/>
        <v>-393500000</v>
      </c>
      <c r="K48" s="19">
        <f t="shared" si="12"/>
        <v>-393500000</v>
      </c>
      <c r="L48" s="19">
        <f t="shared" si="12"/>
        <v>-100220000</v>
      </c>
      <c r="M48" s="19">
        <f t="shared" si="12"/>
        <v>-15740000</v>
      </c>
      <c r="N48" s="19">
        <f t="shared" si="12"/>
        <v>-130073333.33333333</v>
      </c>
      <c r="O48" s="19">
        <f t="shared" si="12"/>
        <v>-130073333.33333333</v>
      </c>
      <c r="P48" s="19">
        <f t="shared" si="12"/>
        <v>-130073333.33333333</v>
      </c>
      <c r="Q48" s="19">
        <f t="shared" si="13"/>
        <v>-19170000</v>
      </c>
      <c r="R48" s="19">
        <f t="shared" si="13"/>
        <v>-19170000</v>
      </c>
      <c r="S48" s="19">
        <f t="shared" si="13"/>
        <v>-19170000</v>
      </c>
      <c r="T48" s="19">
        <f t="shared" si="13"/>
        <v>-19170000</v>
      </c>
      <c r="U48" s="19">
        <f t="shared" si="13"/>
        <v>-19170000</v>
      </c>
      <c r="V48" s="19">
        <f t="shared" si="13"/>
        <v>-19170000</v>
      </c>
      <c r="W48" s="19">
        <f t="shared" si="13"/>
        <v>-19170000</v>
      </c>
      <c r="X48" s="19">
        <f t="shared" si="13"/>
        <v>-19170000</v>
      </c>
      <c r="Y48" s="19">
        <f t="shared" si="13"/>
        <v>-19170000</v>
      </c>
      <c r="Z48" s="19">
        <f t="shared" si="13"/>
        <v>-19170000</v>
      </c>
      <c r="AA48" s="19">
        <f t="shared" si="14"/>
        <v>-19170000</v>
      </c>
      <c r="AB48" s="19">
        <f t="shared" si="14"/>
        <v>-19170000</v>
      </c>
      <c r="AC48" s="19">
        <f t="shared" si="14"/>
        <v>-19170000</v>
      </c>
      <c r="AD48" s="19">
        <f t="shared" si="14"/>
        <v>-19170000</v>
      </c>
      <c r="AE48" s="19">
        <f t="shared" si="14"/>
        <v>-19170000</v>
      </c>
      <c r="AF48" s="19">
        <f t="shared" si="14"/>
        <v>1091730000</v>
      </c>
      <c r="AG48" s="19">
        <f t="shared" si="14"/>
        <v>0</v>
      </c>
      <c r="AH48" s="19">
        <f t="shared" si="14"/>
        <v>0</v>
      </c>
      <c r="AI48" s="19">
        <f t="shared" si="14"/>
        <v>0</v>
      </c>
      <c r="AJ48" s="19">
        <f t="shared" si="14"/>
        <v>0</v>
      </c>
    </row>
    <row r="49" spans="1:74" x14ac:dyDescent="0.35">
      <c r="B49" s="9">
        <f>+'Option inputs'!$B$26</f>
        <v>12</v>
      </c>
      <c r="C49" s="14" t="str">
        <f>+'Option inputs'!$C$26</f>
        <v>Option 4C</v>
      </c>
      <c r="D49" s="26"/>
      <c r="E49" s="12" t="s">
        <v>35</v>
      </c>
      <c r="F49" s="23">
        <f t="shared" si="11"/>
        <v>-1536990462.9511213</v>
      </c>
      <c r="G49" s="19">
        <f t="shared" si="12"/>
        <v>0</v>
      </c>
      <c r="H49" s="19">
        <f t="shared" si="12"/>
        <v>-338750000</v>
      </c>
      <c r="I49" s="19">
        <f t="shared" si="12"/>
        <v>-472750000</v>
      </c>
      <c r="J49" s="19">
        <f t="shared" si="12"/>
        <v>-472750000</v>
      </c>
      <c r="K49" s="19">
        <f t="shared" si="12"/>
        <v>-472750000</v>
      </c>
      <c r="L49" s="19">
        <f t="shared" si="12"/>
        <v>-147550000</v>
      </c>
      <c r="M49" s="19">
        <f t="shared" si="12"/>
        <v>-18910000</v>
      </c>
      <c r="N49" s="19">
        <f t="shared" si="12"/>
        <v>-18910000</v>
      </c>
      <c r="O49" s="19">
        <f t="shared" si="12"/>
        <v>-18910000</v>
      </c>
      <c r="P49" s="19">
        <f t="shared" si="12"/>
        <v>-18910000</v>
      </c>
      <c r="Q49" s="19">
        <f t="shared" si="13"/>
        <v>-18910000</v>
      </c>
      <c r="R49" s="19">
        <f t="shared" si="13"/>
        <v>-18910000</v>
      </c>
      <c r="S49" s="19">
        <f t="shared" si="13"/>
        <v>-18910000</v>
      </c>
      <c r="T49" s="19">
        <f t="shared" si="13"/>
        <v>-18910000</v>
      </c>
      <c r="U49" s="19">
        <f t="shared" si="13"/>
        <v>-18910000</v>
      </c>
      <c r="V49" s="19">
        <f t="shared" si="13"/>
        <v>-18910000</v>
      </c>
      <c r="W49" s="19">
        <f t="shared" si="13"/>
        <v>-18910000</v>
      </c>
      <c r="X49" s="19">
        <f t="shared" si="13"/>
        <v>-18910000</v>
      </c>
      <c r="Y49" s="19">
        <f t="shared" si="13"/>
        <v>-18910000</v>
      </c>
      <c r="Z49" s="19">
        <f t="shared" si="13"/>
        <v>-18910000</v>
      </c>
      <c r="AA49" s="19">
        <f t="shared" si="14"/>
        <v>-18910000</v>
      </c>
      <c r="AB49" s="19">
        <f t="shared" si="14"/>
        <v>-18910000</v>
      </c>
      <c r="AC49" s="19">
        <f t="shared" si="14"/>
        <v>-18910000</v>
      </c>
      <c r="AD49" s="19">
        <f t="shared" si="14"/>
        <v>-18910000</v>
      </c>
      <c r="AE49" s="19">
        <f t="shared" si="14"/>
        <v>-18910000</v>
      </c>
      <c r="AF49" s="19">
        <f t="shared" si="14"/>
        <v>1042935000</v>
      </c>
      <c r="AG49" s="19">
        <f t="shared" si="14"/>
        <v>0</v>
      </c>
      <c r="AH49" s="19">
        <f t="shared" si="14"/>
        <v>0</v>
      </c>
      <c r="AI49" s="19">
        <f t="shared" si="14"/>
        <v>0</v>
      </c>
      <c r="AJ49" s="19">
        <f t="shared" si="14"/>
        <v>0</v>
      </c>
    </row>
    <row r="51" spans="1:74" ht="21" x14ac:dyDescent="0.5">
      <c r="B51" s="6" t="s">
        <v>50</v>
      </c>
      <c r="C51" s="30"/>
      <c r="D51" s="30"/>
      <c r="E51" s="6"/>
      <c r="F51" s="145"/>
      <c r="G51" s="145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</row>
    <row r="53" spans="1:74" x14ac:dyDescent="0.35">
      <c r="B53" s="59" t="s">
        <v>126</v>
      </c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</row>
    <row r="54" spans="1:74" x14ac:dyDescent="0.35">
      <c r="B54" s="26" t="s">
        <v>134</v>
      </c>
      <c r="C54" s="26"/>
      <c r="D54" s="26"/>
      <c r="E54" s="26"/>
      <c r="F54" s="26"/>
      <c r="G54" s="170">
        <v>1</v>
      </c>
      <c r="H54" s="170">
        <f>G54+1</f>
        <v>2</v>
      </c>
      <c r="I54" s="170">
        <f t="shared" ref="I54:AJ54" si="15">H54+1</f>
        <v>3</v>
      </c>
      <c r="J54" s="170">
        <f t="shared" si="15"/>
        <v>4</v>
      </c>
      <c r="K54" s="170">
        <f t="shared" si="15"/>
        <v>5</v>
      </c>
      <c r="L54" s="170">
        <f t="shared" si="15"/>
        <v>6</v>
      </c>
      <c r="M54" s="170">
        <f t="shared" si="15"/>
        <v>7</v>
      </c>
      <c r="N54" s="170">
        <f t="shared" si="15"/>
        <v>8</v>
      </c>
      <c r="O54" s="170">
        <f t="shared" si="15"/>
        <v>9</v>
      </c>
      <c r="P54" s="170">
        <f t="shared" si="15"/>
        <v>10</v>
      </c>
      <c r="Q54" s="170">
        <f t="shared" si="15"/>
        <v>11</v>
      </c>
      <c r="R54" s="170">
        <f t="shared" si="15"/>
        <v>12</v>
      </c>
      <c r="S54" s="170">
        <f t="shared" si="15"/>
        <v>13</v>
      </c>
      <c r="T54" s="170">
        <f t="shared" si="15"/>
        <v>14</v>
      </c>
      <c r="U54" s="170">
        <f t="shared" si="15"/>
        <v>15</v>
      </c>
      <c r="V54" s="170">
        <f t="shared" si="15"/>
        <v>16</v>
      </c>
      <c r="W54" s="170">
        <f t="shared" si="15"/>
        <v>17</v>
      </c>
      <c r="X54" s="170">
        <f t="shared" si="15"/>
        <v>18</v>
      </c>
      <c r="Y54" s="170">
        <f t="shared" si="15"/>
        <v>19</v>
      </c>
      <c r="Z54" s="170">
        <f t="shared" si="15"/>
        <v>20</v>
      </c>
      <c r="AA54" s="170">
        <f t="shared" si="15"/>
        <v>21</v>
      </c>
      <c r="AB54" s="170">
        <f t="shared" si="15"/>
        <v>22</v>
      </c>
      <c r="AC54" s="170">
        <f t="shared" si="15"/>
        <v>23</v>
      </c>
      <c r="AD54" s="170">
        <f t="shared" si="15"/>
        <v>24</v>
      </c>
      <c r="AE54" s="170">
        <f t="shared" si="15"/>
        <v>25</v>
      </c>
      <c r="AF54" s="170">
        <f t="shared" si="15"/>
        <v>26</v>
      </c>
      <c r="AG54" s="170">
        <f t="shared" si="15"/>
        <v>27</v>
      </c>
      <c r="AH54" s="170">
        <f t="shared" si="15"/>
        <v>28</v>
      </c>
      <c r="AI54" s="170">
        <f t="shared" si="15"/>
        <v>29</v>
      </c>
      <c r="AJ54" s="170">
        <f t="shared" si="15"/>
        <v>30</v>
      </c>
    </row>
    <row r="55" spans="1:74" x14ac:dyDescent="0.35">
      <c r="B55" s="26" t="s">
        <v>135</v>
      </c>
      <c r="C55" s="26"/>
      <c r="D55" s="26"/>
      <c r="E55" s="26"/>
      <c r="F55" s="26"/>
      <c r="G55" s="170">
        <f t="shared" ref="G55:AJ55" si="16">IF(G54&gt;AnalysisPeriod,0,1)</f>
        <v>1</v>
      </c>
      <c r="H55" s="170">
        <f t="shared" si="16"/>
        <v>1</v>
      </c>
      <c r="I55" s="170">
        <f t="shared" si="16"/>
        <v>1</v>
      </c>
      <c r="J55" s="170">
        <f t="shared" si="16"/>
        <v>1</v>
      </c>
      <c r="K55" s="170">
        <f t="shared" si="16"/>
        <v>1</v>
      </c>
      <c r="L55" s="170">
        <f t="shared" si="16"/>
        <v>1</v>
      </c>
      <c r="M55" s="170">
        <f t="shared" si="16"/>
        <v>1</v>
      </c>
      <c r="N55" s="170">
        <f t="shared" si="16"/>
        <v>1</v>
      </c>
      <c r="O55" s="170">
        <f t="shared" si="16"/>
        <v>1</v>
      </c>
      <c r="P55" s="170">
        <f t="shared" si="16"/>
        <v>1</v>
      </c>
      <c r="Q55" s="170">
        <f t="shared" si="16"/>
        <v>1</v>
      </c>
      <c r="R55" s="170">
        <f t="shared" si="16"/>
        <v>1</v>
      </c>
      <c r="S55" s="170">
        <f t="shared" si="16"/>
        <v>1</v>
      </c>
      <c r="T55" s="170">
        <f t="shared" si="16"/>
        <v>1</v>
      </c>
      <c r="U55" s="170">
        <f t="shared" si="16"/>
        <v>1</v>
      </c>
      <c r="V55" s="170">
        <f t="shared" si="16"/>
        <v>1</v>
      </c>
      <c r="W55" s="170">
        <f t="shared" si="16"/>
        <v>1</v>
      </c>
      <c r="X55" s="170">
        <f t="shared" si="16"/>
        <v>1</v>
      </c>
      <c r="Y55" s="170">
        <f t="shared" si="16"/>
        <v>1</v>
      </c>
      <c r="Z55" s="170">
        <f t="shared" si="16"/>
        <v>1</v>
      </c>
      <c r="AA55" s="170">
        <f t="shared" si="16"/>
        <v>1</v>
      </c>
      <c r="AB55" s="170">
        <f t="shared" si="16"/>
        <v>1</v>
      </c>
      <c r="AC55" s="170">
        <f t="shared" si="16"/>
        <v>1</v>
      </c>
      <c r="AD55" s="170">
        <f t="shared" si="16"/>
        <v>1</v>
      </c>
      <c r="AE55" s="170">
        <f t="shared" si="16"/>
        <v>1</v>
      </c>
      <c r="AF55" s="170">
        <f t="shared" si="16"/>
        <v>1</v>
      </c>
      <c r="AG55" s="170">
        <f t="shared" si="16"/>
        <v>0</v>
      </c>
      <c r="AH55" s="170">
        <f t="shared" si="16"/>
        <v>0</v>
      </c>
      <c r="AI55" s="170">
        <f t="shared" si="16"/>
        <v>0</v>
      </c>
      <c r="AJ55" s="170">
        <f t="shared" si="16"/>
        <v>0</v>
      </c>
    </row>
    <row r="56" spans="1:74" x14ac:dyDescent="0.35">
      <c r="B56" s="26" t="s">
        <v>132</v>
      </c>
      <c r="C56" s="26"/>
      <c r="D56" s="26"/>
      <c r="E56" s="26"/>
      <c r="F56" s="26"/>
      <c r="G56" s="170" t="str">
        <f>"FY "&amp;G58-1&amp;"-"&amp;RIGHT(G58,2)</f>
        <v>FY 2019-20</v>
      </c>
      <c r="H56" s="170" t="str">
        <f t="shared" ref="H56:AF56" si="17">"FY "&amp;H58-1&amp;"-"&amp;RIGHT(H58,2)</f>
        <v>FY 2020-21</v>
      </c>
      <c r="I56" s="170" t="str">
        <f t="shared" si="17"/>
        <v>FY 2021-22</v>
      </c>
      <c r="J56" s="170" t="str">
        <f t="shared" si="17"/>
        <v>FY 2022-23</v>
      </c>
      <c r="K56" s="170" t="str">
        <f t="shared" si="17"/>
        <v>FY 2023-24</v>
      </c>
      <c r="L56" s="170" t="str">
        <f t="shared" si="17"/>
        <v>FY 2024-25</v>
      </c>
      <c r="M56" s="170" t="str">
        <f t="shared" si="17"/>
        <v>FY 2025-26</v>
      </c>
      <c r="N56" s="170" t="str">
        <f t="shared" si="17"/>
        <v>FY 2026-27</v>
      </c>
      <c r="O56" s="170" t="str">
        <f t="shared" si="17"/>
        <v>FY 2027-28</v>
      </c>
      <c r="P56" s="170" t="str">
        <f t="shared" si="17"/>
        <v>FY 2028-29</v>
      </c>
      <c r="Q56" s="170" t="str">
        <f t="shared" si="17"/>
        <v>FY 2029-30</v>
      </c>
      <c r="R56" s="170" t="str">
        <f t="shared" si="17"/>
        <v>FY 2030-31</v>
      </c>
      <c r="S56" s="170" t="str">
        <f t="shared" si="17"/>
        <v>FY 2031-32</v>
      </c>
      <c r="T56" s="170" t="str">
        <f t="shared" si="17"/>
        <v>FY 2032-33</v>
      </c>
      <c r="U56" s="170" t="str">
        <f t="shared" si="17"/>
        <v>FY 2033-34</v>
      </c>
      <c r="V56" s="170" t="str">
        <f t="shared" si="17"/>
        <v>FY 2034-35</v>
      </c>
      <c r="W56" s="170" t="str">
        <f t="shared" si="17"/>
        <v>FY 2035-36</v>
      </c>
      <c r="X56" s="170" t="str">
        <f t="shared" si="17"/>
        <v>FY 2036-37</v>
      </c>
      <c r="Y56" s="170" t="str">
        <f t="shared" si="17"/>
        <v>FY 2037-38</v>
      </c>
      <c r="Z56" s="170" t="str">
        <f t="shared" si="17"/>
        <v>FY 2038-39</v>
      </c>
      <c r="AA56" s="170" t="str">
        <f t="shared" si="17"/>
        <v>FY 2039-40</v>
      </c>
      <c r="AB56" s="170" t="str">
        <f t="shared" si="17"/>
        <v>FY 2040-41</v>
      </c>
      <c r="AC56" s="170" t="str">
        <f t="shared" si="17"/>
        <v>FY 2041-42</v>
      </c>
      <c r="AD56" s="170" t="str">
        <f t="shared" si="17"/>
        <v>FY 2042-43</v>
      </c>
      <c r="AE56" s="170" t="str">
        <f t="shared" si="17"/>
        <v>FY 2043-44</v>
      </c>
      <c r="AF56" s="170" t="str">
        <f t="shared" si="17"/>
        <v>FY 2044-45</v>
      </c>
      <c r="AG56" s="170" t="str">
        <f t="shared" ref="AG56" si="18">"FY "&amp;AG58-1&amp;"-"&amp;RIGHT(AG58,2)</f>
        <v>FY 2045-46</v>
      </c>
      <c r="AH56" s="170" t="str">
        <f t="shared" ref="AH56" si="19">"FY "&amp;AH58-1&amp;"-"&amp;RIGHT(AH58,2)</f>
        <v>FY 2046-47</v>
      </c>
      <c r="AI56" s="170" t="str">
        <f t="shared" ref="AI56" si="20">"FY "&amp;AI58-1&amp;"-"&amp;RIGHT(AI58,2)</f>
        <v>FY 2047-48</v>
      </c>
      <c r="AJ56" s="170" t="str">
        <f t="shared" ref="AJ56" si="21">"FY "&amp;AJ58-1&amp;"-"&amp;RIGHT(AJ58,2)</f>
        <v>FY 2048-49</v>
      </c>
    </row>
    <row r="57" spans="1:74" x14ac:dyDescent="0.35">
      <c r="B57" s="26" t="s">
        <v>131</v>
      </c>
      <c r="C57" s="26"/>
      <c r="D57" s="26"/>
      <c r="E57" s="26"/>
      <c r="F57" s="26"/>
      <c r="G57" s="170" t="str">
        <f>G58-1&amp;"-"&amp;RIGHT(G58,2)</f>
        <v>2019-20</v>
      </c>
      <c r="H57" s="170" t="str">
        <f t="shared" ref="H57:AJ57" si="22">H58-1&amp;"-"&amp;RIGHT(H58,2)</f>
        <v>2020-21</v>
      </c>
      <c r="I57" s="170" t="str">
        <f t="shared" si="22"/>
        <v>2021-22</v>
      </c>
      <c r="J57" s="170" t="str">
        <f t="shared" si="22"/>
        <v>2022-23</v>
      </c>
      <c r="K57" s="170" t="str">
        <f t="shared" si="22"/>
        <v>2023-24</v>
      </c>
      <c r="L57" s="170" t="str">
        <f t="shared" si="22"/>
        <v>2024-25</v>
      </c>
      <c r="M57" s="170" t="str">
        <f t="shared" si="22"/>
        <v>2025-26</v>
      </c>
      <c r="N57" s="170" t="str">
        <f t="shared" si="22"/>
        <v>2026-27</v>
      </c>
      <c r="O57" s="170" t="str">
        <f t="shared" si="22"/>
        <v>2027-28</v>
      </c>
      <c r="P57" s="170" t="str">
        <f t="shared" si="22"/>
        <v>2028-29</v>
      </c>
      <c r="Q57" s="170" t="str">
        <f t="shared" si="22"/>
        <v>2029-30</v>
      </c>
      <c r="R57" s="170" t="str">
        <f t="shared" si="22"/>
        <v>2030-31</v>
      </c>
      <c r="S57" s="170" t="str">
        <f t="shared" si="22"/>
        <v>2031-32</v>
      </c>
      <c r="T57" s="170" t="str">
        <f t="shared" si="22"/>
        <v>2032-33</v>
      </c>
      <c r="U57" s="170" t="str">
        <f t="shared" si="22"/>
        <v>2033-34</v>
      </c>
      <c r="V57" s="170" t="str">
        <f t="shared" si="22"/>
        <v>2034-35</v>
      </c>
      <c r="W57" s="170" t="str">
        <f t="shared" si="22"/>
        <v>2035-36</v>
      </c>
      <c r="X57" s="170" t="str">
        <f t="shared" si="22"/>
        <v>2036-37</v>
      </c>
      <c r="Y57" s="170" t="str">
        <f t="shared" si="22"/>
        <v>2037-38</v>
      </c>
      <c r="Z57" s="170" t="str">
        <f t="shared" si="22"/>
        <v>2038-39</v>
      </c>
      <c r="AA57" s="170" t="str">
        <f t="shared" si="22"/>
        <v>2039-40</v>
      </c>
      <c r="AB57" s="170" t="str">
        <f t="shared" si="22"/>
        <v>2040-41</v>
      </c>
      <c r="AC57" s="170" t="str">
        <f t="shared" si="22"/>
        <v>2041-42</v>
      </c>
      <c r="AD57" s="170" t="str">
        <f t="shared" si="22"/>
        <v>2042-43</v>
      </c>
      <c r="AE57" s="170" t="str">
        <f t="shared" si="22"/>
        <v>2043-44</v>
      </c>
      <c r="AF57" s="170" t="str">
        <f t="shared" si="22"/>
        <v>2044-45</v>
      </c>
      <c r="AG57" s="170" t="str">
        <f t="shared" si="22"/>
        <v>2045-46</v>
      </c>
      <c r="AH57" s="170" t="str">
        <f t="shared" si="22"/>
        <v>2046-47</v>
      </c>
      <c r="AI57" s="170" t="str">
        <f t="shared" si="22"/>
        <v>2047-48</v>
      </c>
      <c r="AJ57" s="170" t="str">
        <f t="shared" si="22"/>
        <v>2048-49</v>
      </c>
    </row>
    <row r="58" spans="1:74" x14ac:dyDescent="0.35">
      <c r="B58" s="26" t="s">
        <v>125</v>
      </c>
      <c r="C58" s="26"/>
      <c r="D58" s="26"/>
      <c r="E58" s="26"/>
      <c r="F58" s="26"/>
      <c r="G58" s="170">
        <f>FirstYear</f>
        <v>2020</v>
      </c>
      <c r="H58" s="170">
        <f>G58+1</f>
        <v>2021</v>
      </c>
      <c r="I58" s="170">
        <f t="shared" ref="I58:AF58" si="23">H58+1</f>
        <v>2022</v>
      </c>
      <c r="J58" s="170">
        <f t="shared" si="23"/>
        <v>2023</v>
      </c>
      <c r="K58" s="170">
        <f t="shared" si="23"/>
        <v>2024</v>
      </c>
      <c r="L58" s="170">
        <f t="shared" si="23"/>
        <v>2025</v>
      </c>
      <c r="M58" s="170">
        <f t="shared" si="23"/>
        <v>2026</v>
      </c>
      <c r="N58" s="170">
        <f t="shared" si="23"/>
        <v>2027</v>
      </c>
      <c r="O58" s="170">
        <f t="shared" si="23"/>
        <v>2028</v>
      </c>
      <c r="P58" s="170">
        <f t="shared" si="23"/>
        <v>2029</v>
      </c>
      <c r="Q58" s="170">
        <f t="shared" si="23"/>
        <v>2030</v>
      </c>
      <c r="R58" s="170">
        <f t="shared" si="23"/>
        <v>2031</v>
      </c>
      <c r="S58" s="170">
        <f t="shared" si="23"/>
        <v>2032</v>
      </c>
      <c r="T58" s="170">
        <f t="shared" si="23"/>
        <v>2033</v>
      </c>
      <c r="U58" s="170">
        <f t="shared" si="23"/>
        <v>2034</v>
      </c>
      <c r="V58" s="170">
        <f t="shared" si="23"/>
        <v>2035</v>
      </c>
      <c r="W58" s="170">
        <f t="shared" si="23"/>
        <v>2036</v>
      </c>
      <c r="X58" s="170">
        <f t="shared" si="23"/>
        <v>2037</v>
      </c>
      <c r="Y58" s="170">
        <f t="shared" si="23"/>
        <v>2038</v>
      </c>
      <c r="Z58" s="170">
        <f t="shared" si="23"/>
        <v>2039</v>
      </c>
      <c r="AA58" s="170">
        <f t="shared" si="23"/>
        <v>2040</v>
      </c>
      <c r="AB58" s="170">
        <f t="shared" si="23"/>
        <v>2041</v>
      </c>
      <c r="AC58" s="170">
        <f t="shared" si="23"/>
        <v>2042</v>
      </c>
      <c r="AD58" s="170">
        <f t="shared" si="23"/>
        <v>2043</v>
      </c>
      <c r="AE58" s="170">
        <f t="shared" si="23"/>
        <v>2044</v>
      </c>
      <c r="AF58" s="170">
        <f t="shared" si="23"/>
        <v>2045</v>
      </c>
      <c r="AG58" s="170">
        <f t="shared" ref="AG58:AJ58" si="24">AF58+1</f>
        <v>2046</v>
      </c>
      <c r="AH58" s="170">
        <f t="shared" si="24"/>
        <v>2047</v>
      </c>
      <c r="AI58" s="170">
        <f t="shared" si="24"/>
        <v>2048</v>
      </c>
      <c r="AJ58" s="170">
        <f t="shared" si="24"/>
        <v>2049</v>
      </c>
    </row>
    <row r="59" spans="1:74" x14ac:dyDescent="0.35">
      <c r="B59" s="26" t="s">
        <v>128</v>
      </c>
      <c r="C59" s="26"/>
      <c r="D59" s="26"/>
      <c r="E59" s="26"/>
      <c r="F59" s="26"/>
      <c r="G59" s="172">
        <f t="shared" ref="G59:AJ59" si="25">IF(G54&gt;AnalysisPeriod,0,1/(1+DiscountRate_Selection)^(G$58-FirstYear))</f>
        <v>1</v>
      </c>
      <c r="H59" s="172">
        <f t="shared" si="25"/>
        <v>0.94428706326723333</v>
      </c>
      <c r="I59" s="172">
        <f t="shared" si="25"/>
        <v>0.89167805785385579</v>
      </c>
      <c r="J59" s="172">
        <f t="shared" si="25"/>
        <v>0.84200005463064764</v>
      </c>
      <c r="K59" s="172">
        <f t="shared" si="25"/>
        <v>0.79508975885802413</v>
      </c>
      <c r="L59" s="172">
        <f t="shared" si="25"/>
        <v>0.75079297342589635</v>
      </c>
      <c r="M59" s="172">
        <f t="shared" si="25"/>
        <v>0.70896409199801358</v>
      </c>
      <c r="N59" s="172">
        <f t="shared" si="25"/>
        <v>0.66946562039472479</v>
      </c>
      <c r="O59" s="172">
        <f t="shared" si="25"/>
        <v>0.63216772464091109</v>
      </c>
      <c r="P59" s="172">
        <f t="shared" si="25"/>
        <v>0.59694780419349491</v>
      </c>
      <c r="Q59" s="172">
        <f t="shared" si="25"/>
        <v>0.56369008894569872</v>
      </c>
      <c r="R59" s="172">
        <f t="shared" si="25"/>
        <v>0.53228525868337928</v>
      </c>
      <c r="S59" s="172">
        <f t="shared" si="25"/>
        <v>0.50263008374256779</v>
      </c>
      <c r="T59" s="172">
        <f t="shared" si="25"/>
        <v>0.47462708568703288</v>
      </c>
      <c r="U59" s="172">
        <f t="shared" si="25"/>
        <v>0.44818421689049381</v>
      </c>
      <c r="V59" s="172">
        <f t="shared" si="25"/>
        <v>0.42321455797024909</v>
      </c>
      <c r="W59" s="172">
        <f t="shared" si="25"/>
        <v>0.39963603207766679</v>
      </c>
      <c r="X59" s="172">
        <f t="shared" si="25"/>
        <v>0.37737113510638981</v>
      </c>
      <c r="Y59" s="172">
        <f t="shared" si="25"/>
        <v>0.35634668093143512</v>
      </c>
      <c r="Z59" s="172">
        <f t="shared" si="25"/>
        <v>0.33649356084177068</v>
      </c>
      <c r="AA59" s="172">
        <f t="shared" si="25"/>
        <v>0.31774651637560969</v>
      </c>
      <c r="AB59" s="172">
        <f t="shared" si="25"/>
        <v>0.30004392481171832</v>
      </c>
      <c r="AC59" s="172">
        <f t="shared" si="25"/>
        <v>0.28332759661163209</v>
      </c>
      <c r="AD59" s="172">
        <f t="shared" si="25"/>
        <v>0.2675425841469613</v>
      </c>
      <c r="AE59" s="172">
        <f t="shared" si="25"/>
        <v>0.25263700108306075</v>
      </c>
      <c r="AF59" s="172">
        <f t="shared" si="25"/>
        <v>0.2385618518253643</v>
      </c>
      <c r="AG59" s="172">
        <f t="shared" si="25"/>
        <v>0</v>
      </c>
      <c r="AH59" s="172">
        <f t="shared" si="25"/>
        <v>0</v>
      </c>
      <c r="AI59" s="172">
        <f t="shared" si="25"/>
        <v>0</v>
      </c>
      <c r="AJ59" s="172">
        <f t="shared" si="25"/>
        <v>0</v>
      </c>
    </row>
    <row r="61" spans="1:74" x14ac:dyDescent="0.35">
      <c r="B61" s="5" t="s">
        <v>127</v>
      </c>
      <c r="C61" s="28"/>
      <c r="D61" s="28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M61" s="5" t="s">
        <v>138</v>
      </c>
      <c r="AN61" s="28"/>
      <c r="AO61" s="28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</row>
    <row r="62" spans="1:74" x14ac:dyDescent="0.35">
      <c r="B62" s="7" t="str">
        <f>+B7</f>
        <v>Number</v>
      </c>
      <c r="C62" s="10" t="str">
        <f>+C7</f>
        <v>Option name</v>
      </c>
      <c r="D62" s="10" t="s">
        <v>53</v>
      </c>
      <c r="E62" s="8" t="str">
        <f>+E7</f>
        <v>Units</v>
      </c>
      <c r="F62" s="8" t="s">
        <v>37</v>
      </c>
      <c r="G62" s="13" t="str">
        <f>G$56</f>
        <v>FY 2019-20</v>
      </c>
      <c r="H62" s="13" t="str">
        <f t="shared" ref="H62:AJ62" si="26">H$56</f>
        <v>FY 2020-21</v>
      </c>
      <c r="I62" s="13" t="str">
        <f t="shared" si="26"/>
        <v>FY 2021-22</v>
      </c>
      <c r="J62" s="13" t="str">
        <f t="shared" si="26"/>
        <v>FY 2022-23</v>
      </c>
      <c r="K62" s="13" t="str">
        <f t="shared" si="26"/>
        <v>FY 2023-24</v>
      </c>
      <c r="L62" s="13" t="str">
        <f t="shared" si="26"/>
        <v>FY 2024-25</v>
      </c>
      <c r="M62" s="13" t="str">
        <f t="shared" si="26"/>
        <v>FY 2025-26</v>
      </c>
      <c r="N62" s="13" t="str">
        <f t="shared" si="26"/>
        <v>FY 2026-27</v>
      </c>
      <c r="O62" s="13" t="str">
        <f t="shared" si="26"/>
        <v>FY 2027-28</v>
      </c>
      <c r="P62" s="13" t="str">
        <f t="shared" si="26"/>
        <v>FY 2028-29</v>
      </c>
      <c r="Q62" s="13" t="str">
        <f t="shared" si="26"/>
        <v>FY 2029-30</v>
      </c>
      <c r="R62" s="13" t="str">
        <f t="shared" si="26"/>
        <v>FY 2030-31</v>
      </c>
      <c r="S62" s="13" t="str">
        <f t="shared" si="26"/>
        <v>FY 2031-32</v>
      </c>
      <c r="T62" s="13" t="str">
        <f t="shared" si="26"/>
        <v>FY 2032-33</v>
      </c>
      <c r="U62" s="13" t="str">
        <f t="shared" si="26"/>
        <v>FY 2033-34</v>
      </c>
      <c r="V62" s="13" t="str">
        <f t="shared" si="26"/>
        <v>FY 2034-35</v>
      </c>
      <c r="W62" s="13" t="str">
        <f t="shared" si="26"/>
        <v>FY 2035-36</v>
      </c>
      <c r="X62" s="13" t="str">
        <f t="shared" si="26"/>
        <v>FY 2036-37</v>
      </c>
      <c r="Y62" s="13" t="str">
        <f t="shared" si="26"/>
        <v>FY 2037-38</v>
      </c>
      <c r="Z62" s="13" t="str">
        <f t="shared" si="26"/>
        <v>FY 2038-39</v>
      </c>
      <c r="AA62" s="13" t="str">
        <f t="shared" si="26"/>
        <v>FY 2039-40</v>
      </c>
      <c r="AB62" s="13" t="str">
        <f t="shared" si="26"/>
        <v>FY 2040-41</v>
      </c>
      <c r="AC62" s="13" t="str">
        <f t="shared" si="26"/>
        <v>FY 2041-42</v>
      </c>
      <c r="AD62" s="13" t="str">
        <f t="shared" si="26"/>
        <v>FY 2042-43</v>
      </c>
      <c r="AE62" s="13" t="str">
        <f t="shared" si="26"/>
        <v>FY 2043-44</v>
      </c>
      <c r="AF62" s="13" t="str">
        <f t="shared" si="26"/>
        <v>FY 2044-45</v>
      </c>
      <c r="AG62" s="13" t="str">
        <f t="shared" si="26"/>
        <v>FY 2045-46</v>
      </c>
      <c r="AH62" s="13" t="str">
        <f t="shared" si="26"/>
        <v>FY 2046-47</v>
      </c>
      <c r="AI62" s="13" t="str">
        <f t="shared" si="26"/>
        <v>FY 2047-48</v>
      </c>
      <c r="AJ62" s="13" t="str">
        <f t="shared" si="26"/>
        <v>FY 2048-49</v>
      </c>
      <c r="AK62" s="13" t="s">
        <v>136</v>
      </c>
      <c r="AM62" s="7" t="str">
        <f>B62</f>
        <v>Number</v>
      </c>
      <c r="AN62" s="7" t="str">
        <f t="shared" ref="AN62:BV62" si="27">C62</f>
        <v>Option name</v>
      </c>
      <c r="AO62" s="7" t="str">
        <f t="shared" si="27"/>
        <v>Capex component</v>
      </c>
      <c r="AP62" s="7" t="str">
        <f t="shared" si="27"/>
        <v>Units</v>
      </c>
      <c r="AQ62" s="7" t="str">
        <f t="shared" si="27"/>
        <v>PV</v>
      </c>
      <c r="AR62" s="7" t="str">
        <f t="shared" si="27"/>
        <v>FY 2019-20</v>
      </c>
      <c r="AS62" s="7" t="str">
        <f t="shared" si="27"/>
        <v>FY 2020-21</v>
      </c>
      <c r="AT62" s="7" t="str">
        <f t="shared" si="27"/>
        <v>FY 2021-22</v>
      </c>
      <c r="AU62" s="7" t="str">
        <f t="shared" si="27"/>
        <v>FY 2022-23</v>
      </c>
      <c r="AV62" s="7" t="str">
        <f t="shared" si="27"/>
        <v>FY 2023-24</v>
      </c>
      <c r="AW62" s="7" t="str">
        <f t="shared" si="27"/>
        <v>FY 2024-25</v>
      </c>
      <c r="AX62" s="7" t="str">
        <f t="shared" si="27"/>
        <v>FY 2025-26</v>
      </c>
      <c r="AY62" s="7" t="str">
        <f t="shared" si="27"/>
        <v>FY 2026-27</v>
      </c>
      <c r="AZ62" s="7" t="str">
        <f t="shared" si="27"/>
        <v>FY 2027-28</v>
      </c>
      <c r="BA62" s="7" t="str">
        <f t="shared" si="27"/>
        <v>FY 2028-29</v>
      </c>
      <c r="BB62" s="7" t="str">
        <f t="shared" si="27"/>
        <v>FY 2029-30</v>
      </c>
      <c r="BC62" s="7" t="str">
        <f t="shared" si="27"/>
        <v>FY 2030-31</v>
      </c>
      <c r="BD62" s="7" t="str">
        <f t="shared" si="27"/>
        <v>FY 2031-32</v>
      </c>
      <c r="BE62" s="7" t="str">
        <f t="shared" si="27"/>
        <v>FY 2032-33</v>
      </c>
      <c r="BF62" s="7" t="str">
        <f t="shared" si="27"/>
        <v>FY 2033-34</v>
      </c>
      <c r="BG62" s="7" t="str">
        <f t="shared" si="27"/>
        <v>FY 2034-35</v>
      </c>
      <c r="BH62" s="7" t="str">
        <f t="shared" si="27"/>
        <v>FY 2035-36</v>
      </c>
      <c r="BI62" s="7" t="str">
        <f t="shared" si="27"/>
        <v>FY 2036-37</v>
      </c>
      <c r="BJ62" s="7" t="str">
        <f t="shared" si="27"/>
        <v>FY 2037-38</v>
      </c>
      <c r="BK62" s="7" t="str">
        <f t="shared" si="27"/>
        <v>FY 2038-39</v>
      </c>
      <c r="BL62" s="7" t="str">
        <f t="shared" si="27"/>
        <v>FY 2039-40</v>
      </c>
      <c r="BM62" s="7" t="str">
        <f t="shared" si="27"/>
        <v>FY 2040-41</v>
      </c>
      <c r="BN62" s="7" t="str">
        <f t="shared" si="27"/>
        <v>FY 2041-42</v>
      </c>
      <c r="BO62" s="7" t="str">
        <f t="shared" si="27"/>
        <v>FY 2042-43</v>
      </c>
      <c r="BP62" s="7" t="str">
        <f t="shared" si="27"/>
        <v>FY 2043-44</v>
      </c>
      <c r="BQ62" s="7" t="str">
        <f t="shared" si="27"/>
        <v>FY 2044-45</v>
      </c>
      <c r="BR62" s="7" t="str">
        <f t="shared" si="27"/>
        <v>FY 2045-46</v>
      </c>
      <c r="BS62" s="7" t="str">
        <f t="shared" si="27"/>
        <v>FY 2046-47</v>
      </c>
      <c r="BT62" s="7" t="str">
        <f t="shared" si="27"/>
        <v>FY 2047-48</v>
      </c>
      <c r="BU62" s="7" t="str">
        <f t="shared" si="27"/>
        <v>FY 2048-49</v>
      </c>
      <c r="BV62" s="7" t="str">
        <f t="shared" si="27"/>
        <v>Annualised</v>
      </c>
    </row>
    <row r="63" spans="1:74" x14ac:dyDescent="0.35">
      <c r="A63" s="185"/>
      <c r="B63" s="24">
        <f>+'CBA Inputs'!B20</f>
        <v>1</v>
      </c>
      <c r="C63" s="25" t="str">
        <f>+'CBA Inputs'!C20</f>
        <v>Option 1A</v>
      </c>
      <c r="D63" s="25" t="str">
        <f>'CBA Inputs'!D20</f>
        <v>Lines</v>
      </c>
      <c r="E63" s="12" t="s">
        <v>35</v>
      </c>
      <c r="F63" s="18">
        <f t="shared" ref="F63:F92" si="28">NPV(DiscountRate_ACTIVE,G63:AJ63)/(1+DiscountRate_ACTIVE)^(FirstYear-BaseYear-1)</f>
        <v>-593024130.08461666</v>
      </c>
      <c r="G63" s="17">
        <f>-IF(AND(G$58&gt;='CBA Inputs'!$F20,G$58&lt;='CBA Inputs'!$G20),'CBA Inputs'!$E20/('CBA Inputs'!$G20-'CBA Inputs'!$F20+1),0)*IF(G$58=0,0,1)*CapitalCost_ACTIVE*G$55</f>
        <v>0</v>
      </c>
      <c r="H63" s="17">
        <f>-IF(AND(H$58&gt;='CBA Inputs'!$F20,H$58&lt;='CBA Inputs'!$G20),'CBA Inputs'!$E20/('CBA Inputs'!$G20-'CBA Inputs'!$F20+1),0)*IF(H$58=0,0,1)*CapitalCost_ACTIVE*H$55</f>
        <v>-170750000</v>
      </c>
      <c r="I63" s="17">
        <f>-IF(AND(I$58&gt;='CBA Inputs'!$F20,I$58&lt;='CBA Inputs'!$G20),'CBA Inputs'!$E20/('CBA Inputs'!$G20-'CBA Inputs'!$F20+1),0)*IF(I$58=0,0,1)*CapitalCost_ACTIVE*I$55</f>
        <v>-170750000</v>
      </c>
      <c r="J63" s="17">
        <f>-IF(AND(J$58&gt;='CBA Inputs'!$F20,J$58&lt;='CBA Inputs'!$G20),'CBA Inputs'!$E20/('CBA Inputs'!$G20-'CBA Inputs'!$F20+1),0)*IF(J$58=0,0,1)*CapitalCost_ACTIVE*J$55</f>
        <v>-170750000</v>
      </c>
      <c r="K63" s="17">
        <f>-IF(AND(K$58&gt;='CBA Inputs'!$F20,K$58&lt;='CBA Inputs'!$G20),'CBA Inputs'!$E20/('CBA Inputs'!$G20-'CBA Inputs'!$F20+1),0)*IF(K$58=0,0,1)*CapitalCost_ACTIVE*K$55</f>
        <v>-170750000</v>
      </c>
      <c r="L63" s="17">
        <f>-IF(AND(L$58&gt;='CBA Inputs'!$F20,L$58&lt;='CBA Inputs'!$G20),'CBA Inputs'!$E20/('CBA Inputs'!$G20-'CBA Inputs'!$F20+1),0)*IF(L$58=0,0,1)*CapitalCost_ACTIVE*L$55</f>
        <v>0</v>
      </c>
      <c r="M63" s="17">
        <f>-IF(AND(M$58&gt;='CBA Inputs'!$F20,M$58&lt;='CBA Inputs'!$G20),'CBA Inputs'!$E20/('CBA Inputs'!$G20-'CBA Inputs'!$F20+1),0)*IF(M$58=0,0,1)*CapitalCost_ACTIVE*M$55</f>
        <v>0</v>
      </c>
      <c r="N63" s="17">
        <f>-IF(AND(N$58&gt;='CBA Inputs'!$F20,N$58&lt;='CBA Inputs'!$G20),'CBA Inputs'!$E20/('CBA Inputs'!$G20-'CBA Inputs'!$F20+1),0)*IF(N$58=0,0,1)*CapitalCost_ACTIVE*N$55</f>
        <v>0</v>
      </c>
      <c r="O63" s="17">
        <f>-IF(AND(O$58&gt;='CBA Inputs'!$F20,O$58&lt;='CBA Inputs'!$G20),'CBA Inputs'!$E20/('CBA Inputs'!$G20-'CBA Inputs'!$F20+1),0)*IF(O$58=0,0,1)*CapitalCost_ACTIVE*O$55</f>
        <v>0</v>
      </c>
      <c r="P63" s="17">
        <f>-IF(AND(P$58&gt;='CBA Inputs'!$F20,P$58&lt;='CBA Inputs'!$G20),'CBA Inputs'!$E20/('CBA Inputs'!$G20-'CBA Inputs'!$F20+1),0)*IF(P$58=0,0,1)*CapitalCost_ACTIVE*P$55</f>
        <v>0</v>
      </c>
      <c r="Q63" s="17">
        <f>-IF(AND(Q$58&gt;='CBA Inputs'!$F20,Q$58&lt;='CBA Inputs'!$G20),'CBA Inputs'!$E20/('CBA Inputs'!$G20-'CBA Inputs'!$F20+1),0)*IF(Q$58=0,0,1)*CapitalCost_ACTIVE*Q$55</f>
        <v>0</v>
      </c>
      <c r="R63" s="17">
        <f>-IF(AND(R$58&gt;='CBA Inputs'!$F20,R$58&lt;='CBA Inputs'!$G20),'CBA Inputs'!$E20/('CBA Inputs'!$G20-'CBA Inputs'!$F20+1),0)*IF(R$58=0,0,1)*CapitalCost_ACTIVE*R$55</f>
        <v>0</v>
      </c>
      <c r="S63" s="17">
        <f>-IF(AND(S$58&gt;='CBA Inputs'!$F20,S$58&lt;='CBA Inputs'!$G20),'CBA Inputs'!$E20/('CBA Inputs'!$G20-'CBA Inputs'!$F20+1),0)*IF(S$58=0,0,1)*CapitalCost_ACTIVE*S$55</f>
        <v>0</v>
      </c>
      <c r="T63" s="17">
        <f>-IF(AND(T$58&gt;='CBA Inputs'!$F20,T$58&lt;='CBA Inputs'!$G20),'CBA Inputs'!$E20/('CBA Inputs'!$G20-'CBA Inputs'!$F20+1),0)*IF(T$58=0,0,1)*CapitalCost_ACTIVE*T$55</f>
        <v>0</v>
      </c>
      <c r="U63" s="17">
        <f>-IF(AND(U$58&gt;='CBA Inputs'!$F20,U$58&lt;='CBA Inputs'!$G20),'CBA Inputs'!$E20/('CBA Inputs'!$G20-'CBA Inputs'!$F20+1),0)*IF(U$58=0,0,1)*CapitalCost_ACTIVE*U$55</f>
        <v>0</v>
      </c>
      <c r="V63" s="17">
        <f>-IF(AND(V$58&gt;='CBA Inputs'!$F20,V$58&lt;='CBA Inputs'!$G20),'CBA Inputs'!$E20/('CBA Inputs'!$G20-'CBA Inputs'!$F20+1),0)*IF(V$58=0,0,1)*CapitalCost_ACTIVE*V$55</f>
        <v>0</v>
      </c>
      <c r="W63" s="17">
        <f>-IF(AND(W$58&gt;='CBA Inputs'!$F20,W$58&lt;='CBA Inputs'!$G20),'CBA Inputs'!$E20/('CBA Inputs'!$G20-'CBA Inputs'!$F20+1),0)*IF(W$58=0,0,1)*CapitalCost_ACTIVE*W$55</f>
        <v>0</v>
      </c>
      <c r="X63" s="17">
        <f>-IF(AND(X$58&gt;='CBA Inputs'!$F20,X$58&lt;='CBA Inputs'!$G20),'CBA Inputs'!$E20/('CBA Inputs'!$G20-'CBA Inputs'!$F20+1),0)*IF(X$58=0,0,1)*CapitalCost_ACTIVE*X$55</f>
        <v>0</v>
      </c>
      <c r="Y63" s="17">
        <f>-IF(AND(Y$58&gt;='CBA Inputs'!$F20,Y$58&lt;='CBA Inputs'!$G20),'CBA Inputs'!$E20/('CBA Inputs'!$G20-'CBA Inputs'!$F20+1),0)*IF(Y$58=0,0,1)*CapitalCost_ACTIVE*Y$55</f>
        <v>0</v>
      </c>
      <c r="Z63" s="17">
        <f>-IF(AND(Z$58&gt;='CBA Inputs'!$F20,Z$58&lt;='CBA Inputs'!$G20),'CBA Inputs'!$E20/('CBA Inputs'!$G20-'CBA Inputs'!$F20+1),0)*IF(Z$58=0,0,1)*CapitalCost_ACTIVE*Z$55</f>
        <v>0</v>
      </c>
      <c r="AA63" s="17">
        <f>-IF(AND(AA$58&gt;='CBA Inputs'!$F20,AA$58&lt;='CBA Inputs'!$G20),'CBA Inputs'!$E20/('CBA Inputs'!$G20-'CBA Inputs'!$F20+1),0)*IF(AA$58=0,0,1)*CapitalCost_ACTIVE*AA$55</f>
        <v>0</v>
      </c>
      <c r="AB63" s="17">
        <f>-IF(AND(AB$58&gt;='CBA Inputs'!$F20,AB$58&lt;='CBA Inputs'!$G20),'CBA Inputs'!$E20/('CBA Inputs'!$G20-'CBA Inputs'!$F20+1),0)*IF(AB$58=0,0,1)*CapitalCost_ACTIVE*AB$55</f>
        <v>0</v>
      </c>
      <c r="AC63" s="17">
        <f>-IF(AND(AC$58&gt;='CBA Inputs'!$F20,AC$58&lt;='CBA Inputs'!$G20),'CBA Inputs'!$E20/('CBA Inputs'!$G20-'CBA Inputs'!$F20+1),0)*IF(AC$58=0,0,1)*CapitalCost_ACTIVE*AC$55</f>
        <v>0</v>
      </c>
      <c r="AD63" s="17">
        <f>-IF(AND(AD$58&gt;='CBA Inputs'!$F20,AD$58&lt;='CBA Inputs'!$G20),'CBA Inputs'!$E20/('CBA Inputs'!$G20-'CBA Inputs'!$F20+1),0)*IF(AD$58=0,0,1)*CapitalCost_ACTIVE*AD$55</f>
        <v>0</v>
      </c>
      <c r="AE63" s="17">
        <f>-IF(AND(AE$58&gt;='CBA Inputs'!$F20,AE$58&lt;='CBA Inputs'!$G20),'CBA Inputs'!$E20/('CBA Inputs'!$G20-'CBA Inputs'!$F20+1),0)*IF(AE$58=0,0,1)*CapitalCost_ACTIVE*AE$55</f>
        <v>0</v>
      </c>
      <c r="AF63" s="17">
        <f>-IF(AND(AF$58&gt;='CBA Inputs'!$F20,AF$58&lt;='CBA Inputs'!$G20),'CBA Inputs'!$E20/('CBA Inputs'!$G20-'CBA Inputs'!$F20+1),0)*IF(AF$58=0,0,1)*CapitalCost_ACTIVE*AF$55</f>
        <v>0</v>
      </c>
      <c r="AG63" s="17">
        <f>-IF(AND(AG$58&gt;='CBA Inputs'!$F20,AG$58&lt;='CBA Inputs'!$G20),'CBA Inputs'!$E20/('CBA Inputs'!$G20-'CBA Inputs'!$F20+1),0)*IF(AG$58=0,0,1)*CapitalCost_ACTIVE*AG$55</f>
        <v>0</v>
      </c>
      <c r="AH63" s="17">
        <f>-IF(AND(AH$58&gt;='CBA Inputs'!$F20,AH$58&lt;='CBA Inputs'!$G20),'CBA Inputs'!$E20/('CBA Inputs'!$G20-'CBA Inputs'!$F20+1),0)*IF(AH$58=0,0,1)*CapitalCost_ACTIVE*AH$55</f>
        <v>0</v>
      </c>
      <c r="AI63" s="17">
        <f>-IF(AND(AI$58&gt;='CBA Inputs'!$F20,AI$58&lt;='CBA Inputs'!$G20),'CBA Inputs'!$E20/('CBA Inputs'!$G20-'CBA Inputs'!$F20+1),0)*IF(AI$58=0,0,1)*CapitalCost_ACTIVE*AI$55</f>
        <v>0</v>
      </c>
      <c r="AJ63" s="17">
        <f>-IF(AND(AJ$58&gt;='CBA Inputs'!$F20,AJ$58&lt;='CBA Inputs'!$G20),'CBA Inputs'!$E20/('CBA Inputs'!$G20-'CBA Inputs'!$F20+1),0)*IF(AJ$58=0,0,1)*CapitalCost_ACTIVE*AJ$55</f>
        <v>0</v>
      </c>
      <c r="AK63" s="178">
        <f>IFERROR(PMT(DiscountRate_ACTIVE,'CBA Inputs'!I20,'CBA Inputs'!E20),0)</f>
        <v>-42728769.344072111</v>
      </c>
      <c r="AM63" s="24">
        <f>'CBA Inputs'!L20</f>
        <v>2</v>
      </c>
      <c r="AN63" s="24" t="str">
        <f>'CBA Inputs'!M20</f>
        <v>Option 1B</v>
      </c>
      <c r="AO63" s="24" t="str">
        <f>'CBA Inputs'!N20</f>
        <v>Substation</v>
      </c>
      <c r="AP63" s="12" t="s">
        <v>35</v>
      </c>
      <c r="AQ63" s="18">
        <f t="shared" ref="AQ63:AQ92" si="29">NPV(DiscountRate_ACTIVE,AR63:BU63)/(1+DiscountRate_ACTIVE)^(FirstYear-BaseYear-2)</f>
        <v>-76145550.684584707</v>
      </c>
      <c r="AR63" s="17">
        <f>-IF(AND(G$58&gt;='CBA Inputs'!$P20,G$58&lt;='CBA Inputs'!$Q20),'CBA Inputs'!$O20/('CBA Inputs'!$Q20-'CBA Inputs'!$P20+1),0)*IF(G$58=0,0,1)*CapitalCost_ACTIVE*G$55*IF(Scenario_Select='CBA Inputs'!$T20,1,0)</f>
        <v>0</v>
      </c>
      <c r="AS63" s="17">
        <f>-IF(AND(H$58&gt;='CBA Inputs'!$P20,H$58&lt;='CBA Inputs'!$Q20),'CBA Inputs'!$O20/('CBA Inputs'!$Q20-'CBA Inputs'!$P20+1),0)*IF(H$58=0,0,1)*CapitalCost_ACTIVE*H$55*IF(Scenario_Select='CBA Inputs'!$T20,1,0)</f>
        <v>0</v>
      </c>
      <c r="AT63" s="17">
        <f>-IF(AND(I$58&gt;='CBA Inputs'!$P20,I$58&lt;='CBA Inputs'!$Q20),'CBA Inputs'!$O20/('CBA Inputs'!$Q20-'CBA Inputs'!$P20+1),0)*IF(I$58=0,0,1)*CapitalCost_ACTIVE*I$55*IF(Scenario_Select='CBA Inputs'!$T20,1,0)</f>
        <v>0</v>
      </c>
      <c r="AU63" s="17">
        <f>-IF(AND(J$58&gt;='CBA Inputs'!$P20,J$58&lt;='CBA Inputs'!$Q20),'CBA Inputs'!$O20/('CBA Inputs'!$Q20-'CBA Inputs'!$P20+1),0)*IF(J$58=0,0,1)*CapitalCost_ACTIVE*J$55*IF(Scenario_Select='CBA Inputs'!$T20,1,0)</f>
        <v>0</v>
      </c>
      <c r="AV63" s="17">
        <f>-IF(AND(K$58&gt;='CBA Inputs'!$P20,K$58&lt;='CBA Inputs'!$Q20),'CBA Inputs'!$O20/('CBA Inputs'!$Q20-'CBA Inputs'!$P20+1),0)*IF(K$58=0,0,1)*CapitalCost_ACTIVE*K$55*IF(Scenario_Select='CBA Inputs'!$T20,1,0)</f>
        <v>0</v>
      </c>
      <c r="AW63" s="17">
        <f>-IF(AND(L$58&gt;='CBA Inputs'!$P20,L$58&lt;='CBA Inputs'!$Q20),'CBA Inputs'!$O20/('CBA Inputs'!$Q20-'CBA Inputs'!$P20+1),0)*IF(L$58=0,0,1)*CapitalCost_ACTIVE*L$55*IF(Scenario_Select='CBA Inputs'!$T20,1,0)</f>
        <v>0</v>
      </c>
      <c r="AX63" s="17">
        <f>-IF(AND(M$58&gt;='CBA Inputs'!$P20,M$58&lt;='CBA Inputs'!$Q20),'CBA Inputs'!$O20/('CBA Inputs'!$Q20-'CBA Inputs'!$P20+1),0)*IF(M$58=0,0,1)*CapitalCost_ACTIVE*M$55*IF(Scenario_Select='CBA Inputs'!$T20,1,0)</f>
        <v>0</v>
      </c>
      <c r="AY63" s="17">
        <f>-IF(AND(N$58&gt;='CBA Inputs'!$P20,N$58&lt;='CBA Inputs'!$Q20),'CBA Inputs'!$O20/('CBA Inputs'!$Q20-'CBA Inputs'!$P20+1),0)*IF(N$58=0,0,1)*CapitalCost_ACTIVE*N$55*IF(Scenario_Select='CBA Inputs'!$T20,1,0)</f>
        <v>0</v>
      </c>
      <c r="AZ63" s="17">
        <f>-IF(AND(O$58&gt;='CBA Inputs'!$P20,O$58&lt;='CBA Inputs'!$Q20),'CBA Inputs'!$O20/('CBA Inputs'!$Q20-'CBA Inputs'!$P20+1),0)*IF(O$58=0,0,1)*CapitalCost_ACTIVE*O$55*IF(Scenario_Select='CBA Inputs'!$T20,1,0)</f>
        <v>-58500000</v>
      </c>
      <c r="BA63" s="17">
        <f>-IF(AND(P$58&gt;='CBA Inputs'!$P20,P$58&lt;='CBA Inputs'!$Q20),'CBA Inputs'!$O20/('CBA Inputs'!$Q20-'CBA Inputs'!$P20+1),0)*IF(P$58=0,0,1)*CapitalCost_ACTIVE*P$55*IF(Scenario_Select='CBA Inputs'!$T20,1,0)</f>
        <v>-58500000</v>
      </c>
      <c r="BB63" s="17">
        <f>-IF(AND(Q$58&gt;='CBA Inputs'!$P20,Q$58&lt;='CBA Inputs'!$Q20),'CBA Inputs'!$O20/('CBA Inputs'!$Q20-'CBA Inputs'!$P20+1),0)*IF(Q$58=0,0,1)*CapitalCost_ACTIVE*Q$55*IF(Scenario_Select='CBA Inputs'!$T20,1,0)</f>
        <v>0</v>
      </c>
      <c r="BC63" s="17">
        <f>-IF(AND(R$58&gt;='CBA Inputs'!$P20,R$58&lt;='CBA Inputs'!$Q20),'CBA Inputs'!$O20/('CBA Inputs'!$Q20-'CBA Inputs'!$P20+1),0)*IF(R$58=0,0,1)*CapitalCost_ACTIVE*R$55*IF(Scenario_Select='CBA Inputs'!$T20,1,0)</f>
        <v>0</v>
      </c>
      <c r="BD63" s="17">
        <f>-IF(AND(S$58&gt;='CBA Inputs'!$P20,S$58&lt;='CBA Inputs'!$Q20),'CBA Inputs'!$O20/('CBA Inputs'!$Q20-'CBA Inputs'!$P20+1),0)*IF(S$58=0,0,1)*CapitalCost_ACTIVE*S$55*IF(Scenario_Select='CBA Inputs'!$T20,1,0)</f>
        <v>0</v>
      </c>
      <c r="BE63" s="17">
        <f>-IF(AND(T$58&gt;='CBA Inputs'!$P20,T$58&lt;='CBA Inputs'!$Q20),'CBA Inputs'!$O20/('CBA Inputs'!$Q20-'CBA Inputs'!$P20+1),0)*IF(T$58=0,0,1)*CapitalCost_ACTIVE*T$55*IF(Scenario_Select='CBA Inputs'!$T20,1,0)</f>
        <v>0</v>
      </c>
      <c r="BF63" s="17">
        <f>-IF(AND(U$58&gt;='CBA Inputs'!$P20,U$58&lt;='CBA Inputs'!$Q20),'CBA Inputs'!$O20/('CBA Inputs'!$Q20-'CBA Inputs'!$P20+1),0)*IF(U$58=0,0,1)*CapitalCost_ACTIVE*U$55*IF(Scenario_Select='CBA Inputs'!$T20,1,0)</f>
        <v>0</v>
      </c>
      <c r="BG63" s="17">
        <f>-IF(AND(V$58&gt;='CBA Inputs'!$P20,V$58&lt;='CBA Inputs'!$Q20),'CBA Inputs'!$O20/('CBA Inputs'!$Q20-'CBA Inputs'!$P20+1),0)*IF(V$58=0,0,1)*CapitalCost_ACTIVE*V$55*IF(Scenario_Select='CBA Inputs'!$T20,1,0)</f>
        <v>0</v>
      </c>
      <c r="BH63" s="17">
        <f>-IF(AND(W$58&gt;='CBA Inputs'!$P20,W$58&lt;='CBA Inputs'!$Q20),'CBA Inputs'!$O20/('CBA Inputs'!$Q20-'CBA Inputs'!$P20+1),0)*IF(W$58=0,0,1)*CapitalCost_ACTIVE*W$55*IF(Scenario_Select='CBA Inputs'!$T20,1,0)</f>
        <v>0</v>
      </c>
      <c r="BI63" s="17">
        <f>-IF(AND(X$58&gt;='CBA Inputs'!$P20,X$58&lt;='CBA Inputs'!$Q20),'CBA Inputs'!$O20/('CBA Inputs'!$Q20-'CBA Inputs'!$P20+1),0)*IF(X$58=0,0,1)*CapitalCost_ACTIVE*X$55*IF(Scenario_Select='CBA Inputs'!$T20,1,0)</f>
        <v>0</v>
      </c>
      <c r="BJ63" s="17">
        <f>-IF(AND(Y$58&gt;='CBA Inputs'!$P20,Y$58&lt;='CBA Inputs'!$Q20),'CBA Inputs'!$O20/('CBA Inputs'!$Q20-'CBA Inputs'!$P20+1),0)*IF(Y$58=0,0,1)*CapitalCost_ACTIVE*Y$55*IF(Scenario_Select='CBA Inputs'!$T20,1,0)</f>
        <v>0</v>
      </c>
      <c r="BK63" s="17">
        <f>-IF(AND(Z$58&gt;='CBA Inputs'!$P20,Z$58&lt;='CBA Inputs'!$Q20),'CBA Inputs'!$O20/('CBA Inputs'!$Q20-'CBA Inputs'!$P20+1),0)*IF(Z$58=0,0,1)*CapitalCost_ACTIVE*Z$55*IF(Scenario_Select='CBA Inputs'!$T20,1,0)</f>
        <v>0</v>
      </c>
      <c r="BL63" s="17">
        <f>-IF(AND(AA$58&gt;='CBA Inputs'!$P20,AA$58&lt;='CBA Inputs'!$Q20),'CBA Inputs'!$O20/('CBA Inputs'!$Q20-'CBA Inputs'!$P20+1),0)*IF(AA$58=0,0,1)*CapitalCost_ACTIVE*AA$55*IF(Scenario_Select='CBA Inputs'!$T20,1,0)</f>
        <v>0</v>
      </c>
      <c r="BM63" s="17">
        <f>-IF(AND(AB$58&gt;='CBA Inputs'!$P20,AB$58&lt;='CBA Inputs'!$Q20),'CBA Inputs'!$O20/('CBA Inputs'!$Q20-'CBA Inputs'!$P20+1),0)*IF(AB$58=0,0,1)*CapitalCost_ACTIVE*AB$55*IF(Scenario_Select='CBA Inputs'!$T20,1,0)</f>
        <v>0</v>
      </c>
      <c r="BN63" s="17">
        <f>-IF(AND(AC$58&gt;='CBA Inputs'!$P20,AC$58&lt;='CBA Inputs'!$Q20),'CBA Inputs'!$O20/('CBA Inputs'!$Q20-'CBA Inputs'!$P20+1),0)*IF(AC$58=0,0,1)*CapitalCost_ACTIVE*AC$55*IF(Scenario_Select='CBA Inputs'!$T20,1,0)</f>
        <v>0</v>
      </c>
      <c r="BO63" s="17">
        <f>-IF(AND(AD$58&gt;='CBA Inputs'!$P20,AD$58&lt;='CBA Inputs'!$Q20),'CBA Inputs'!$O20/('CBA Inputs'!$Q20-'CBA Inputs'!$P20+1),0)*IF(AD$58=0,0,1)*CapitalCost_ACTIVE*AD$55*IF(Scenario_Select='CBA Inputs'!$T20,1,0)</f>
        <v>0</v>
      </c>
      <c r="BP63" s="17">
        <f>-IF(AND(AE$58&gt;='CBA Inputs'!$P20,AE$58&lt;='CBA Inputs'!$Q20),'CBA Inputs'!$O20/('CBA Inputs'!$Q20-'CBA Inputs'!$P20+1),0)*IF(AE$58=0,0,1)*CapitalCost_ACTIVE*AE$55*IF(Scenario_Select='CBA Inputs'!$T20,1,0)</f>
        <v>0</v>
      </c>
      <c r="BQ63" s="17">
        <f>-IF(AND(AF$58&gt;='CBA Inputs'!$P20,AF$58&lt;='CBA Inputs'!$Q20),'CBA Inputs'!$O20/('CBA Inputs'!$Q20-'CBA Inputs'!$P20+1),0)*IF(AF$58=0,0,1)*CapitalCost_ACTIVE*AF$55*IF(Scenario_Select='CBA Inputs'!$T20,1,0)</f>
        <v>0</v>
      </c>
      <c r="BR63" s="17">
        <f>-IF(AND(AG$58&gt;='CBA Inputs'!$P20,AG$58&lt;='CBA Inputs'!$Q20),'CBA Inputs'!$O20/('CBA Inputs'!$Q20-'CBA Inputs'!$P20+1),0)*IF(AG$58=0,0,1)*CapitalCost_ACTIVE*AG$55*IF(Scenario_Select='CBA Inputs'!$T20,1,0)</f>
        <v>0</v>
      </c>
      <c r="BS63" s="17">
        <f>-IF(AND(AH$58&gt;='CBA Inputs'!$P20,AH$58&lt;='CBA Inputs'!$Q20),'CBA Inputs'!$O20/('CBA Inputs'!$Q20-'CBA Inputs'!$P20+1),0)*IF(AH$58=0,0,1)*CapitalCost_ACTIVE*AH$55*IF(Scenario_Select='CBA Inputs'!$T20,1,0)</f>
        <v>0</v>
      </c>
      <c r="BT63" s="17">
        <f>-IF(AND(AI$58&gt;='CBA Inputs'!$P20,AI$58&lt;='CBA Inputs'!$Q20),'CBA Inputs'!$O20/('CBA Inputs'!$Q20-'CBA Inputs'!$P20+1),0)*IF(AI$58=0,0,1)*CapitalCost_ACTIVE*AI$55*IF(Scenario_Select='CBA Inputs'!$T20,1,0)</f>
        <v>0</v>
      </c>
      <c r="BU63" s="17">
        <f>-IF(AND(AJ$58&gt;='CBA Inputs'!$P20,AJ$58&lt;='CBA Inputs'!$Q20),'CBA Inputs'!$O20/('CBA Inputs'!$Q20-'CBA Inputs'!$P20+1),0)*IF(AJ$58=0,0,1)*CapitalCost_ACTIVE*AJ$55*IF(Scenario_Select='CBA Inputs'!$T20,1,0)</f>
        <v>0</v>
      </c>
      <c r="BV63" s="178">
        <f>IFERROR(PMT(DiscountRate_ACTIVE,'CBA Inputs'!S20,'CBA Inputs'!O20),0)*IF(Scenario_Select='CBA Inputs'!$T20,1,0)</f>
        <v>-7678214.3983472027</v>
      </c>
    </row>
    <row r="64" spans="1:74" x14ac:dyDescent="0.35">
      <c r="A64" s="134"/>
      <c r="B64" s="24">
        <f>+'CBA Inputs'!B21</f>
        <v>1</v>
      </c>
      <c r="C64" s="25" t="str">
        <f>+'CBA Inputs'!C21</f>
        <v>Option 1A</v>
      </c>
      <c r="D64" s="25" t="str">
        <f>'CBA Inputs'!D21</f>
        <v>Substation</v>
      </c>
      <c r="E64" s="12" t="s">
        <v>35</v>
      </c>
      <c r="F64" s="18">
        <f t="shared" si="28"/>
        <v>-97245538.169073299</v>
      </c>
      <c r="G64" s="17">
        <f>-IF(AND(G$58&gt;='CBA Inputs'!$F21,G$58&lt;='CBA Inputs'!$G21),'CBA Inputs'!$E21/('CBA Inputs'!$G21-'CBA Inputs'!$F21+1),0)*IF(G$58=0,0,1)*CapitalCost_ACTIVE*G$55</f>
        <v>0</v>
      </c>
      <c r="H64" s="17">
        <f>-IF(AND(H$58&gt;='CBA Inputs'!$F21,H$58&lt;='CBA Inputs'!$G21),'CBA Inputs'!$E21/('CBA Inputs'!$G21-'CBA Inputs'!$F21+1),0)*IF(H$58=0,0,1)*CapitalCost_ACTIVE*H$55</f>
        <v>-28000000</v>
      </c>
      <c r="I64" s="17">
        <f>-IF(AND(I$58&gt;='CBA Inputs'!$F21,I$58&lt;='CBA Inputs'!$G21),'CBA Inputs'!$E21/('CBA Inputs'!$G21-'CBA Inputs'!$F21+1),0)*IF(I$58=0,0,1)*CapitalCost_ACTIVE*I$55</f>
        <v>-28000000</v>
      </c>
      <c r="J64" s="17">
        <f>-IF(AND(J$58&gt;='CBA Inputs'!$F21,J$58&lt;='CBA Inputs'!$G21),'CBA Inputs'!$E21/('CBA Inputs'!$G21-'CBA Inputs'!$F21+1),0)*IF(J$58=0,0,1)*CapitalCost_ACTIVE*J$55</f>
        <v>-28000000</v>
      </c>
      <c r="K64" s="17">
        <f>-IF(AND(K$58&gt;='CBA Inputs'!$F21,K$58&lt;='CBA Inputs'!$G21),'CBA Inputs'!$E21/('CBA Inputs'!$G21-'CBA Inputs'!$F21+1),0)*IF(K$58=0,0,1)*CapitalCost_ACTIVE*K$55</f>
        <v>-28000000</v>
      </c>
      <c r="L64" s="17">
        <f>-IF(AND(L$58&gt;='CBA Inputs'!$F21,L$58&lt;='CBA Inputs'!$G21),'CBA Inputs'!$E21/('CBA Inputs'!$G21-'CBA Inputs'!$F21+1),0)*IF(L$58=0,0,1)*CapitalCost_ACTIVE*L$55</f>
        <v>0</v>
      </c>
      <c r="M64" s="17">
        <f>-IF(AND(M$58&gt;='CBA Inputs'!$F21,M$58&lt;='CBA Inputs'!$G21),'CBA Inputs'!$E21/('CBA Inputs'!$G21-'CBA Inputs'!$F21+1),0)*IF(M$58=0,0,1)*CapitalCost_ACTIVE*M$55</f>
        <v>0</v>
      </c>
      <c r="N64" s="17">
        <f>-IF(AND(N$58&gt;='CBA Inputs'!$F21,N$58&lt;='CBA Inputs'!$G21),'CBA Inputs'!$E21/('CBA Inputs'!$G21-'CBA Inputs'!$F21+1),0)*IF(N$58=0,0,1)*CapitalCost_ACTIVE*N$55</f>
        <v>0</v>
      </c>
      <c r="O64" s="17">
        <f>-IF(AND(O$58&gt;='CBA Inputs'!$F21,O$58&lt;='CBA Inputs'!$G21),'CBA Inputs'!$E21/('CBA Inputs'!$G21-'CBA Inputs'!$F21+1),0)*IF(O$58=0,0,1)*CapitalCost_ACTIVE*O$55</f>
        <v>0</v>
      </c>
      <c r="P64" s="17">
        <f>-IF(AND(P$58&gt;='CBA Inputs'!$F21,P$58&lt;='CBA Inputs'!$G21),'CBA Inputs'!$E21/('CBA Inputs'!$G21-'CBA Inputs'!$F21+1),0)*IF(P$58=0,0,1)*CapitalCost_ACTIVE*P$55</f>
        <v>0</v>
      </c>
      <c r="Q64" s="17">
        <f>-IF(AND(Q$58&gt;='CBA Inputs'!$F21,Q$58&lt;='CBA Inputs'!$G21),'CBA Inputs'!$E21/('CBA Inputs'!$G21-'CBA Inputs'!$F21+1),0)*IF(Q$58=0,0,1)*CapitalCost_ACTIVE*Q$55</f>
        <v>0</v>
      </c>
      <c r="R64" s="17">
        <f>-IF(AND(R$58&gt;='CBA Inputs'!$F21,R$58&lt;='CBA Inputs'!$G21),'CBA Inputs'!$E21/('CBA Inputs'!$G21-'CBA Inputs'!$F21+1),0)*IF(R$58=0,0,1)*CapitalCost_ACTIVE*R$55</f>
        <v>0</v>
      </c>
      <c r="S64" s="17">
        <f>-IF(AND(S$58&gt;='CBA Inputs'!$F21,S$58&lt;='CBA Inputs'!$G21),'CBA Inputs'!$E21/('CBA Inputs'!$G21-'CBA Inputs'!$F21+1),0)*IF(S$58=0,0,1)*CapitalCost_ACTIVE*S$55</f>
        <v>0</v>
      </c>
      <c r="T64" s="17">
        <f>-IF(AND(T$58&gt;='CBA Inputs'!$F21,T$58&lt;='CBA Inputs'!$G21),'CBA Inputs'!$E21/('CBA Inputs'!$G21-'CBA Inputs'!$F21+1),0)*IF(T$58=0,0,1)*CapitalCost_ACTIVE*T$55</f>
        <v>0</v>
      </c>
      <c r="U64" s="17">
        <f>-IF(AND(U$58&gt;='CBA Inputs'!$F21,U$58&lt;='CBA Inputs'!$G21),'CBA Inputs'!$E21/('CBA Inputs'!$G21-'CBA Inputs'!$F21+1),0)*IF(U$58=0,0,1)*CapitalCost_ACTIVE*U$55</f>
        <v>0</v>
      </c>
      <c r="V64" s="17">
        <f>-IF(AND(V$58&gt;='CBA Inputs'!$F21,V$58&lt;='CBA Inputs'!$G21),'CBA Inputs'!$E21/('CBA Inputs'!$G21-'CBA Inputs'!$F21+1),0)*IF(V$58=0,0,1)*CapitalCost_ACTIVE*V$55</f>
        <v>0</v>
      </c>
      <c r="W64" s="17">
        <f>-IF(AND(W$58&gt;='CBA Inputs'!$F21,W$58&lt;='CBA Inputs'!$G21),'CBA Inputs'!$E21/('CBA Inputs'!$G21-'CBA Inputs'!$F21+1),0)*IF(W$58=0,0,1)*CapitalCost_ACTIVE*W$55</f>
        <v>0</v>
      </c>
      <c r="X64" s="17">
        <f>-IF(AND(X$58&gt;='CBA Inputs'!$F21,X$58&lt;='CBA Inputs'!$G21),'CBA Inputs'!$E21/('CBA Inputs'!$G21-'CBA Inputs'!$F21+1),0)*IF(X$58=0,0,1)*CapitalCost_ACTIVE*X$55</f>
        <v>0</v>
      </c>
      <c r="Y64" s="17">
        <f>-IF(AND(Y$58&gt;='CBA Inputs'!$F21,Y$58&lt;='CBA Inputs'!$G21),'CBA Inputs'!$E21/('CBA Inputs'!$G21-'CBA Inputs'!$F21+1),0)*IF(Y$58=0,0,1)*CapitalCost_ACTIVE*Y$55</f>
        <v>0</v>
      </c>
      <c r="Z64" s="17">
        <f>-IF(AND(Z$58&gt;='CBA Inputs'!$F21,Z$58&lt;='CBA Inputs'!$G21),'CBA Inputs'!$E21/('CBA Inputs'!$G21-'CBA Inputs'!$F21+1),0)*IF(Z$58=0,0,1)*CapitalCost_ACTIVE*Z$55</f>
        <v>0</v>
      </c>
      <c r="AA64" s="17">
        <f>-IF(AND(AA$58&gt;='CBA Inputs'!$F21,AA$58&lt;='CBA Inputs'!$G21),'CBA Inputs'!$E21/('CBA Inputs'!$G21-'CBA Inputs'!$F21+1),0)*IF(AA$58=0,0,1)*CapitalCost_ACTIVE*AA$55</f>
        <v>0</v>
      </c>
      <c r="AB64" s="17">
        <f>-IF(AND(AB$58&gt;='CBA Inputs'!$F21,AB$58&lt;='CBA Inputs'!$G21),'CBA Inputs'!$E21/('CBA Inputs'!$G21-'CBA Inputs'!$F21+1),0)*IF(AB$58=0,0,1)*CapitalCost_ACTIVE*AB$55</f>
        <v>0</v>
      </c>
      <c r="AC64" s="17">
        <f>-IF(AND(AC$58&gt;='CBA Inputs'!$F21,AC$58&lt;='CBA Inputs'!$G21),'CBA Inputs'!$E21/('CBA Inputs'!$G21-'CBA Inputs'!$F21+1),0)*IF(AC$58=0,0,1)*CapitalCost_ACTIVE*AC$55</f>
        <v>0</v>
      </c>
      <c r="AD64" s="17">
        <f>-IF(AND(AD$58&gt;='CBA Inputs'!$F21,AD$58&lt;='CBA Inputs'!$G21),'CBA Inputs'!$E21/('CBA Inputs'!$G21-'CBA Inputs'!$F21+1),0)*IF(AD$58=0,0,1)*CapitalCost_ACTIVE*AD$55</f>
        <v>0</v>
      </c>
      <c r="AE64" s="17">
        <f>-IF(AND(AE$58&gt;='CBA Inputs'!$F21,AE$58&lt;='CBA Inputs'!$G21),'CBA Inputs'!$E21/('CBA Inputs'!$G21-'CBA Inputs'!$F21+1),0)*IF(AE$58=0,0,1)*CapitalCost_ACTIVE*AE$55</f>
        <v>0</v>
      </c>
      <c r="AF64" s="17">
        <f>-IF(AND(AF$58&gt;='CBA Inputs'!$F21,AF$58&lt;='CBA Inputs'!$G21),'CBA Inputs'!$E21/('CBA Inputs'!$G21-'CBA Inputs'!$F21+1),0)*IF(AF$58=0,0,1)*CapitalCost_ACTIVE*AF$55</f>
        <v>0</v>
      </c>
      <c r="AG64" s="17">
        <f>-IF(AND(AG$58&gt;='CBA Inputs'!$F21,AG$58&lt;='CBA Inputs'!$G21),'CBA Inputs'!$E21/('CBA Inputs'!$G21-'CBA Inputs'!$F21+1),0)*IF(AG$58=0,0,1)*CapitalCost_ACTIVE*AG$55</f>
        <v>0</v>
      </c>
      <c r="AH64" s="17">
        <f>-IF(AND(AH$58&gt;='CBA Inputs'!$F21,AH$58&lt;='CBA Inputs'!$G21),'CBA Inputs'!$E21/('CBA Inputs'!$G21-'CBA Inputs'!$F21+1),0)*IF(AH$58=0,0,1)*CapitalCost_ACTIVE*AH$55</f>
        <v>0</v>
      </c>
      <c r="AI64" s="17">
        <f>-IF(AND(AI$58&gt;='CBA Inputs'!$F21,AI$58&lt;='CBA Inputs'!$G21),'CBA Inputs'!$E21/('CBA Inputs'!$G21-'CBA Inputs'!$F21+1),0)*IF(AI$58=0,0,1)*CapitalCost_ACTIVE*AI$55</f>
        <v>0</v>
      </c>
      <c r="AJ64" s="17">
        <f>-IF(AND(AJ$58&gt;='CBA Inputs'!$F21,AJ$58&lt;='CBA Inputs'!$G21),'CBA Inputs'!$E21/('CBA Inputs'!$G21-'CBA Inputs'!$F21+1),0)*IF(AJ$58=0,0,1)*CapitalCost_ACTIVE*AJ$55</f>
        <v>0</v>
      </c>
      <c r="AK64" s="178">
        <f>IFERROR(PMT(DiscountRate_ACTIVE,'CBA Inputs'!I21,'CBA Inputs'!E21),0)</f>
        <v>-7350085.5779050142</v>
      </c>
      <c r="AM64" s="24">
        <f>'CBA Inputs'!L21</f>
        <v>2</v>
      </c>
      <c r="AN64" s="24" t="str">
        <f>'CBA Inputs'!M21</f>
        <v>Option 1B</v>
      </c>
      <c r="AO64" s="24" t="str">
        <f>'CBA Inputs'!N21</f>
        <v>Substation</v>
      </c>
      <c r="AP64" s="12" t="s">
        <v>35</v>
      </c>
      <c r="AQ64" s="18">
        <f t="shared" si="29"/>
        <v>0</v>
      </c>
      <c r="AR64" s="17">
        <f>-IF(AND(G$58&gt;='CBA Inputs'!$P21,G$58&lt;='CBA Inputs'!$Q21),'CBA Inputs'!$O21/('CBA Inputs'!$Q21-'CBA Inputs'!$P21+1),0)*IF(G$58=0,0,1)*CapitalCost_ACTIVE*G$55*IF(Scenario_Select='CBA Inputs'!$T21,1,0)</f>
        <v>0</v>
      </c>
      <c r="AS64" s="17">
        <f>-IF(AND(H$58&gt;='CBA Inputs'!$P21,H$58&lt;='CBA Inputs'!$Q21),'CBA Inputs'!$O21/('CBA Inputs'!$Q21-'CBA Inputs'!$P21+1),0)*IF(H$58=0,0,1)*CapitalCost_ACTIVE*H$55*IF(Scenario_Select='CBA Inputs'!$T21,1,0)</f>
        <v>0</v>
      </c>
      <c r="AT64" s="17">
        <f>-IF(AND(I$58&gt;='CBA Inputs'!$P21,I$58&lt;='CBA Inputs'!$Q21),'CBA Inputs'!$O21/('CBA Inputs'!$Q21-'CBA Inputs'!$P21+1),0)*IF(I$58=0,0,1)*CapitalCost_ACTIVE*I$55*IF(Scenario_Select='CBA Inputs'!$T21,1,0)</f>
        <v>0</v>
      </c>
      <c r="AU64" s="17">
        <f>-IF(AND(J$58&gt;='CBA Inputs'!$P21,J$58&lt;='CBA Inputs'!$Q21),'CBA Inputs'!$O21/('CBA Inputs'!$Q21-'CBA Inputs'!$P21+1),0)*IF(J$58=0,0,1)*CapitalCost_ACTIVE*J$55*IF(Scenario_Select='CBA Inputs'!$T21,1,0)</f>
        <v>0</v>
      </c>
      <c r="AV64" s="17">
        <f>-IF(AND(K$58&gt;='CBA Inputs'!$P21,K$58&lt;='CBA Inputs'!$Q21),'CBA Inputs'!$O21/('CBA Inputs'!$Q21-'CBA Inputs'!$P21+1),0)*IF(K$58=0,0,1)*CapitalCost_ACTIVE*K$55*IF(Scenario_Select='CBA Inputs'!$T21,1,0)</f>
        <v>0</v>
      </c>
      <c r="AW64" s="17">
        <f>-IF(AND(L$58&gt;='CBA Inputs'!$P21,L$58&lt;='CBA Inputs'!$Q21),'CBA Inputs'!$O21/('CBA Inputs'!$Q21-'CBA Inputs'!$P21+1),0)*IF(L$58=0,0,1)*CapitalCost_ACTIVE*L$55*IF(Scenario_Select='CBA Inputs'!$T21,1,0)</f>
        <v>0</v>
      </c>
      <c r="AX64" s="17">
        <f>-IF(AND(M$58&gt;='CBA Inputs'!$P21,M$58&lt;='CBA Inputs'!$Q21),'CBA Inputs'!$O21/('CBA Inputs'!$Q21-'CBA Inputs'!$P21+1),0)*IF(M$58=0,0,1)*CapitalCost_ACTIVE*M$55*IF(Scenario_Select='CBA Inputs'!$T21,1,0)</f>
        <v>0</v>
      </c>
      <c r="AY64" s="17">
        <f>-IF(AND(N$58&gt;='CBA Inputs'!$P21,N$58&lt;='CBA Inputs'!$Q21),'CBA Inputs'!$O21/('CBA Inputs'!$Q21-'CBA Inputs'!$P21+1),0)*IF(N$58=0,0,1)*CapitalCost_ACTIVE*N$55*IF(Scenario_Select='CBA Inputs'!$T21,1,0)</f>
        <v>0</v>
      </c>
      <c r="AZ64" s="17">
        <f>-IF(AND(O$58&gt;='CBA Inputs'!$P21,O$58&lt;='CBA Inputs'!$Q21),'CBA Inputs'!$O21/('CBA Inputs'!$Q21-'CBA Inputs'!$P21+1),0)*IF(O$58=0,0,1)*CapitalCost_ACTIVE*O$55*IF(Scenario_Select='CBA Inputs'!$T21,1,0)</f>
        <v>0</v>
      </c>
      <c r="BA64" s="17">
        <f>-IF(AND(P$58&gt;='CBA Inputs'!$P21,P$58&lt;='CBA Inputs'!$Q21),'CBA Inputs'!$O21/('CBA Inputs'!$Q21-'CBA Inputs'!$P21+1),0)*IF(P$58=0,0,1)*CapitalCost_ACTIVE*P$55*IF(Scenario_Select='CBA Inputs'!$T21,1,0)</f>
        <v>0</v>
      </c>
      <c r="BB64" s="17">
        <f>-IF(AND(Q$58&gt;='CBA Inputs'!$P21,Q$58&lt;='CBA Inputs'!$Q21),'CBA Inputs'!$O21/('CBA Inputs'!$Q21-'CBA Inputs'!$P21+1),0)*IF(Q$58=0,0,1)*CapitalCost_ACTIVE*Q$55*IF(Scenario_Select='CBA Inputs'!$T21,1,0)</f>
        <v>0</v>
      </c>
      <c r="BC64" s="17">
        <f>-IF(AND(R$58&gt;='CBA Inputs'!$P21,R$58&lt;='CBA Inputs'!$Q21),'CBA Inputs'!$O21/('CBA Inputs'!$Q21-'CBA Inputs'!$P21+1),0)*IF(R$58=0,0,1)*CapitalCost_ACTIVE*R$55*IF(Scenario_Select='CBA Inputs'!$T21,1,0)</f>
        <v>0</v>
      </c>
      <c r="BD64" s="17">
        <f>-IF(AND(S$58&gt;='CBA Inputs'!$P21,S$58&lt;='CBA Inputs'!$Q21),'CBA Inputs'!$O21/('CBA Inputs'!$Q21-'CBA Inputs'!$P21+1),0)*IF(S$58=0,0,1)*CapitalCost_ACTIVE*S$55*IF(Scenario_Select='CBA Inputs'!$T21,1,0)</f>
        <v>0</v>
      </c>
      <c r="BE64" s="17">
        <f>-IF(AND(T$58&gt;='CBA Inputs'!$P21,T$58&lt;='CBA Inputs'!$Q21),'CBA Inputs'!$O21/('CBA Inputs'!$Q21-'CBA Inputs'!$P21+1),0)*IF(T$58=0,0,1)*CapitalCost_ACTIVE*T$55*IF(Scenario_Select='CBA Inputs'!$T21,1,0)</f>
        <v>0</v>
      </c>
      <c r="BF64" s="17">
        <f>-IF(AND(U$58&gt;='CBA Inputs'!$P21,U$58&lt;='CBA Inputs'!$Q21),'CBA Inputs'!$O21/('CBA Inputs'!$Q21-'CBA Inputs'!$P21+1),0)*IF(U$58=0,0,1)*CapitalCost_ACTIVE*U$55*IF(Scenario_Select='CBA Inputs'!$T21,1,0)</f>
        <v>0</v>
      </c>
      <c r="BG64" s="17">
        <f>-IF(AND(V$58&gt;='CBA Inputs'!$P21,V$58&lt;='CBA Inputs'!$Q21),'CBA Inputs'!$O21/('CBA Inputs'!$Q21-'CBA Inputs'!$P21+1),0)*IF(V$58=0,0,1)*CapitalCost_ACTIVE*V$55*IF(Scenario_Select='CBA Inputs'!$T21,1,0)</f>
        <v>0</v>
      </c>
      <c r="BH64" s="17">
        <f>-IF(AND(W$58&gt;='CBA Inputs'!$P21,W$58&lt;='CBA Inputs'!$Q21),'CBA Inputs'!$O21/('CBA Inputs'!$Q21-'CBA Inputs'!$P21+1),0)*IF(W$58=0,0,1)*CapitalCost_ACTIVE*W$55*IF(Scenario_Select='CBA Inputs'!$T21,1,0)</f>
        <v>0</v>
      </c>
      <c r="BI64" s="17">
        <f>-IF(AND(X$58&gt;='CBA Inputs'!$P21,X$58&lt;='CBA Inputs'!$Q21),'CBA Inputs'!$O21/('CBA Inputs'!$Q21-'CBA Inputs'!$P21+1),0)*IF(X$58=0,0,1)*CapitalCost_ACTIVE*X$55*IF(Scenario_Select='CBA Inputs'!$T21,1,0)</f>
        <v>0</v>
      </c>
      <c r="BJ64" s="17">
        <f>-IF(AND(Y$58&gt;='CBA Inputs'!$P21,Y$58&lt;='CBA Inputs'!$Q21),'CBA Inputs'!$O21/('CBA Inputs'!$Q21-'CBA Inputs'!$P21+1),0)*IF(Y$58=0,0,1)*CapitalCost_ACTIVE*Y$55*IF(Scenario_Select='CBA Inputs'!$T21,1,0)</f>
        <v>0</v>
      </c>
      <c r="BK64" s="17">
        <f>-IF(AND(Z$58&gt;='CBA Inputs'!$P21,Z$58&lt;='CBA Inputs'!$Q21),'CBA Inputs'!$O21/('CBA Inputs'!$Q21-'CBA Inputs'!$P21+1),0)*IF(Z$58=0,0,1)*CapitalCost_ACTIVE*Z$55*IF(Scenario_Select='CBA Inputs'!$T21,1,0)</f>
        <v>0</v>
      </c>
      <c r="BL64" s="17">
        <f>-IF(AND(AA$58&gt;='CBA Inputs'!$P21,AA$58&lt;='CBA Inputs'!$Q21),'CBA Inputs'!$O21/('CBA Inputs'!$Q21-'CBA Inputs'!$P21+1),0)*IF(AA$58=0,0,1)*CapitalCost_ACTIVE*AA$55*IF(Scenario_Select='CBA Inputs'!$T21,1,0)</f>
        <v>0</v>
      </c>
      <c r="BM64" s="17">
        <f>-IF(AND(AB$58&gt;='CBA Inputs'!$P21,AB$58&lt;='CBA Inputs'!$Q21),'CBA Inputs'!$O21/('CBA Inputs'!$Q21-'CBA Inputs'!$P21+1),0)*IF(AB$58=0,0,1)*CapitalCost_ACTIVE*AB$55*IF(Scenario_Select='CBA Inputs'!$T21,1,0)</f>
        <v>0</v>
      </c>
      <c r="BN64" s="17">
        <f>-IF(AND(AC$58&gt;='CBA Inputs'!$P21,AC$58&lt;='CBA Inputs'!$Q21),'CBA Inputs'!$O21/('CBA Inputs'!$Q21-'CBA Inputs'!$P21+1),0)*IF(AC$58=0,0,1)*CapitalCost_ACTIVE*AC$55*IF(Scenario_Select='CBA Inputs'!$T21,1,0)</f>
        <v>0</v>
      </c>
      <c r="BO64" s="17">
        <f>-IF(AND(AD$58&gt;='CBA Inputs'!$P21,AD$58&lt;='CBA Inputs'!$Q21),'CBA Inputs'!$O21/('CBA Inputs'!$Q21-'CBA Inputs'!$P21+1),0)*IF(AD$58=0,0,1)*CapitalCost_ACTIVE*AD$55*IF(Scenario_Select='CBA Inputs'!$T21,1,0)</f>
        <v>0</v>
      </c>
      <c r="BP64" s="17">
        <f>-IF(AND(AE$58&gt;='CBA Inputs'!$P21,AE$58&lt;='CBA Inputs'!$Q21),'CBA Inputs'!$O21/('CBA Inputs'!$Q21-'CBA Inputs'!$P21+1),0)*IF(AE$58=0,0,1)*CapitalCost_ACTIVE*AE$55*IF(Scenario_Select='CBA Inputs'!$T21,1,0)</f>
        <v>0</v>
      </c>
      <c r="BQ64" s="17">
        <f>-IF(AND(AF$58&gt;='CBA Inputs'!$P21,AF$58&lt;='CBA Inputs'!$Q21),'CBA Inputs'!$O21/('CBA Inputs'!$Q21-'CBA Inputs'!$P21+1),0)*IF(AF$58=0,0,1)*CapitalCost_ACTIVE*AF$55*IF(Scenario_Select='CBA Inputs'!$T21,1,0)</f>
        <v>0</v>
      </c>
      <c r="BR64" s="17">
        <f>-IF(AND(AG$58&gt;='CBA Inputs'!$P21,AG$58&lt;='CBA Inputs'!$Q21),'CBA Inputs'!$O21/('CBA Inputs'!$Q21-'CBA Inputs'!$P21+1),0)*IF(AG$58=0,0,1)*CapitalCost_ACTIVE*AG$55*IF(Scenario_Select='CBA Inputs'!$T21,1,0)</f>
        <v>0</v>
      </c>
      <c r="BS64" s="17">
        <f>-IF(AND(AH$58&gt;='CBA Inputs'!$P21,AH$58&lt;='CBA Inputs'!$Q21),'CBA Inputs'!$O21/('CBA Inputs'!$Q21-'CBA Inputs'!$P21+1),0)*IF(AH$58=0,0,1)*CapitalCost_ACTIVE*AH$55*IF(Scenario_Select='CBA Inputs'!$T21,1,0)</f>
        <v>0</v>
      </c>
      <c r="BT64" s="17">
        <f>-IF(AND(AI$58&gt;='CBA Inputs'!$P21,AI$58&lt;='CBA Inputs'!$Q21),'CBA Inputs'!$O21/('CBA Inputs'!$Q21-'CBA Inputs'!$P21+1),0)*IF(AI$58=0,0,1)*CapitalCost_ACTIVE*AI$55*IF(Scenario_Select='CBA Inputs'!$T21,1,0)</f>
        <v>0</v>
      </c>
      <c r="BU64" s="17">
        <f>-IF(AND(AJ$58&gt;='CBA Inputs'!$P21,AJ$58&lt;='CBA Inputs'!$Q21),'CBA Inputs'!$O21/('CBA Inputs'!$Q21-'CBA Inputs'!$P21+1),0)*IF(AJ$58=0,0,1)*CapitalCost_ACTIVE*AJ$55*IF(Scenario_Select='CBA Inputs'!$T21,1,0)</f>
        <v>0</v>
      </c>
      <c r="BV64" s="178">
        <f>IFERROR(PMT(DiscountRate_ACTIVE,'CBA Inputs'!S21,'CBA Inputs'!O21),0)*IF(Scenario_Select='CBA Inputs'!$T21,1,0)</f>
        <v>0</v>
      </c>
    </row>
    <row r="65" spans="1:74" x14ac:dyDescent="0.35">
      <c r="A65" s="134"/>
      <c r="B65" s="24">
        <f>+'CBA Inputs'!B22</f>
        <v>2</v>
      </c>
      <c r="C65" s="25" t="str">
        <f>+'CBA Inputs'!C22</f>
        <v>Option 1B</v>
      </c>
      <c r="D65" s="25" t="str">
        <f>'CBA Inputs'!D22</f>
        <v xml:space="preserve">Lines </v>
      </c>
      <c r="E65" s="12" t="s">
        <v>35</v>
      </c>
      <c r="F65" s="18">
        <f t="shared" si="28"/>
        <v>-733682854.93631184</v>
      </c>
      <c r="G65" s="17">
        <f>-IF(AND(G$58&gt;='CBA Inputs'!$F22,G$58&lt;='CBA Inputs'!$G22),'CBA Inputs'!$E22/('CBA Inputs'!$G22-'CBA Inputs'!$F22+1),0)*IF(G$58=0,0,1)*CapitalCost_ACTIVE*G$55</f>
        <v>0</v>
      </c>
      <c r="H65" s="17">
        <f>-IF(AND(H$58&gt;='CBA Inputs'!$F22,H$58&lt;='CBA Inputs'!$G22),'CBA Inputs'!$E22/('CBA Inputs'!$G22-'CBA Inputs'!$F22+1),0)*IF(H$58=0,0,1)*CapitalCost_ACTIVE*H$55</f>
        <v>-211250000</v>
      </c>
      <c r="I65" s="17">
        <f>-IF(AND(I$58&gt;='CBA Inputs'!$F22,I$58&lt;='CBA Inputs'!$G22),'CBA Inputs'!$E22/('CBA Inputs'!$G22-'CBA Inputs'!$F22+1),0)*IF(I$58=0,0,1)*CapitalCost_ACTIVE*I$55</f>
        <v>-211250000</v>
      </c>
      <c r="J65" s="17">
        <f>-IF(AND(J$58&gt;='CBA Inputs'!$F22,J$58&lt;='CBA Inputs'!$G22),'CBA Inputs'!$E22/('CBA Inputs'!$G22-'CBA Inputs'!$F22+1),0)*IF(J$58=0,0,1)*CapitalCost_ACTIVE*J$55</f>
        <v>-211250000</v>
      </c>
      <c r="K65" s="17">
        <f>-IF(AND(K$58&gt;='CBA Inputs'!$F22,K$58&lt;='CBA Inputs'!$G22),'CBA Inputs'!$E22/('CBA Inputs'!$G22-'CBA Inputs'!$F22+1),0)*IF(K$58=0,0,1)*CapitalCost_ACTIVE*K$55</f>
        <v>-211250000</v>
      </c>
      <c r="L65" s="17">
        <f>-IF(AND(L$58&gt;='CBA Inputs'!$F22,L$58&lt;='CBA Inputs'!$G22),'CBA Inputs'!$E22/('CBA Inputs'!$G22-'CBA Inputs'!$F22+1),0)*IF(L$58=0,0,1)*CapitalCost_ACTIVE*L$55</f>
        <v>0</v>
      </c>
      <c r="M65" s="17">
        <f>-IF(AND(M$58&gt;='CBA Inputs'!$F22,M$58&lt;='CBA Inputs'!$G22),'CBA Inputs'!$E22/('CBA Inputs'!$G22-'CBA Inputs'!$F22+1),0)*IF(M$58=0,0,1)*CapitalCost_ACTIVE*M$55</f>
        <v>0</v>
      </c>
      <c r="N65" s="17">
        <f>-IF(AND(N$58&gt;='CBA Inputs'!$F22,N$58&lt;='CBA Inputs'!$G22),'CBA Inputs'!$E22/('CBA Inputs'!$G22-'CBA Inputs'!$F22+1),0)*IF(N$58=0,0,1)*CapitalCost_ACTIVE*N$55</f>
        <v>0</v>
      </c>
      <c r="O65" s="17">
        <f>-IF(AND(O$58&gt;='CBA Inputs'!$F22,O$58&lt;='CBA Inputs'!$G22),'CBA Inputs'!$E22/('CBA Inputs'!$G22-'CBA Inputs'!$F22+1),0)*IF(O$58=0,0,1)*CapitalCost_ACTIVE*O$55</f>
        <v>0</v>
      </c>
      <c r="P65" s="17">
        <f>-IF(AND(P$58&gt;='CBA Inputs'!$F22,P$58&lt;='CBA Inputs'!$G22),'CBA Inputs'!$E22/('CBA Inputs'!$G22-'CBA Inputs'!$F22+1),0)*IF(P$58=0,0,1)*CapitalCost_ACTIVE*P$55</f>
        <v>0</v>
      </c>
      <c r="Q65" s="17">
        <f>-IF(AND(Q$58&gt;='CBA Inputs'!$F22,Q$58&lt;='CBA Inputs'!$G22),'CBA Inputs'!$E22/('CBA Inputs'!$G22-'CBA Inputs'!$F22+1),0)*IF(Q$58=0,0,1)*CapitalCost_ACTIVE*Q$55</f>
        <v>0</v>
      </c>
      <c r="R65" s="17">
        <f>-IF(AND(R$58&gt;='CBA Inputs'!$F22,R$58&lt;='CBA Inputs'!$G22),'CBA Inputs'!$E22/('CBA Inputs'!$G22-'CBA Inputs'!$F22+1),0)*IF(R$58=0,0,1)*CapitalCost_ACTIVE*R$55</f>
        <v>0</v>
      </c>
      <c r="S65" s="17">
        <f>-IF(AND(S$58&gt;='CBA Inputs'!$F22,S$58&lt;='CBA Inputs'!$G22),'CBA Inputs'!$E22/('CBA Inputs'!$G22-'CBA Inputs'!$F22+1),0)*IF(S$58=0,0,1)*CapitalCost_ACTIVE*S$55</f>
        <v>0</v>
      </c>
      <c r="T65" s="17">
        <f>-IF(AND(T$58&gt;='CBA Inputs'!$F22,T$58&lt;='CBA Inputs'!$G22),'CBA Inputs'!$E22/('CBA Inputs'!$G22-'CBA Inputs'!$F22+1),0)*IF(T$58=0,0,1)*CapitalCost_ACTIVE*T$55</f>
        <v>0</v>
      </c>
      <c r="U65" s="17">
        <f>-IF(AND(U$58&gt;='CBA Inputs'!$F22,U$58&lt;='CBA Inputs'!$G22),'CBA Inputs'!$E22/('CBA Inputs'!$G22-'CBA Inputs'!$F22+1),0)*IF(U$58=0,0,1)*CapitalCost_ACTIVE*U$55</f>
        <v>0</v>
      </c>
      <c r="V65" s="17">
        <f>-IF(AND(V$58&gt;='CBA Inputs'!$F22,V$58&lt;='CBA Inputs'!$G22),'CBA Inputs'!$E22/('CBA Inputs'!$G22-'CBA Inputs'!$F22+1),0)*IF(V$58=0,0,1)*CapitalCost_ACTIVE*V$55</f>
        <v>0</v>
      </c>
      <c r="W65" s="17">
        <f>-IF(AND(W$58&gt;='CBA Inputs'!$F22,W$58&lt;='CBA Inputs'!$G22),'CBA Inputs'!$E22/('CBA Inputs'!$G22-'CBA Inputs'!$F22+1),0)*IF(W$58=0,0,1)*CapitalCost_ACTIVE*W$55</f>
        <v>0</v>
      </c>
      <c r="X65" s="17">
        <f>-IF(AND(X$58&gt;='CBA Inputs'!$F22,X$58&lt;='CBA Inputs'!$G22),'CBA Inputs'!$E22/('CBA Inputs'!$G22-'CBA Inputs'!$F22+1),0)*IF(X$58=0,0,1)*CapitalCost_ACTIVE*X$55</f>
        <v>0</v>
      </c>
      <c r="Y65" s="17">
        <f>-IF(AND(Y$58&gt;='CBA Inputs'!$F22,Y$58&lt;='CBA Inputs'!$G22),'CBA Inputs'!$E22/('CBA Inputs'!$G22-'CBA Inputs'!$F22+1),0)*IF(Y$58=0,0,1)*CapitalCost_ACTIVE*Y$55</f>
        <v>0</v>
      </c>
      <c r="Z65" s="17">
        <f>-IF(AND(Z$58&gt;='CBA Inputs'!$F22,Z$58&lt;='CBA Inputs'!$G22),'CBA Inputs'!$E22/('CBA Inputs'!$G22-'CBA Inputs'!$F22+1),0)*IF(Z$58=0,0,1)*CapitalCost_ACTIVE*Z$55</f>
        <v>0</v>
      </c>
      <c r="AA65" s="17">
        <f>-IF(AND(AA$58&gt;='CBA Inputs'!$F22,AA$58&lt;='CBA Inputs'!$G22),'CBA Inputs'!$E22/('CBA Inputs'!$G22-'CBA Inputs'!$F22+1),0)*IF(AA$58=0,0,1)*CapitalCost_ACTIVE*AA$55</f>
        <v>0</v>
      </c>
      <c r="AB65" s="17">
        <f>-IF(AND(AB$58&gt;='CBA Inputs'!$F22,AB$58&lt;='CBA Inputs'!$G22),'CBA Inputs'!$E22/('CBA Inputs'!$G22-'CBA Inputs'!$F22+1),0)*IF(AB$58=0,0,1)*CapitalCost_ACTIVE*AB$55</f>
        <v>0</v>
      </c>
      <c r="AC65" s="17">
        <f>-IF(AND(AC$58&gt;='CBA Inputs'!$F22,AC$58&lt;='CBA Inputs'!$G22),'CBA Inputs'!$E22/('CBA Inputs'!$G22-'CBA Inputs'!$F22+1),0)*IF(AC$58=0,0,1)*CapitalCost_ACTIVE*AC$55</f>
        <v>0</v>
      </c>
      <c r="AD65" s="17">
        <f>-IF(AND(AD$58&gt;='CBA Inputs'!$F22,AD$58&lt;='CBA Inputs'!$G22),'CBA Inputs'!$E22/('CBA Inputs'!$G22-'CBA Inputs'!$F22+1),0)*IF(AD$58=0,0,1)*CapitalCost_ACTIVE*AD$55</f>
        <v>0</v>
      </c>
      <c r="AE65" s="17">
        <f>-IF(AND(AE$58&gt;='CBA Inputs'!$F22,AE$58&lt;='CBA Inputs'!$G22),'CBA Inputs'!$E22/('CBA Inputs'!$G22-'CBA Inputs'!$F22+1),0)*IF(AE$58=0,0,1)*CapitalCost_ACTIVE*AE$55</f>
        <v>0</v>
      </c>
      <c r="AF65" s="17">
        <f>-IF(AND(AF$58&gt;='CBA Inputs'!$F22,AF$58&lt;='CBA Inputs'!$G22),'CBA Inputs'!$E22/('CBA Inputs'!$G22-'CBA Inputs'!$F22+1),0)*IF(AF$58=0,0,1)*CapitalCost_ACTIVE*AF$55</f>
        <v>0</v>
      </c>
      <c r="AG65" s="17">
        <f>-IF(AND(AG$58&gt;='CBA Inputs'!$F22,AG$58&lt;='CBA Inputs'!$G22),'CBA Inputs'!$E22/('CBA Inputs'!$G22-'CBA Inputs'!$F22+1),0)*IF(AG$58=0,0,1)*CapitalCost_ACTIVE*AG$55</f>
        <v>0</v>
      </c>
      <c r="AH65" s="17">
        <f>-IF(AND(AH$58&gt;='CBA Inputs'!$F22,AH$58&lt;='CBA Inputs'!$G22),'CBA Inputs'!$E22/('CBA Inputs'!$G22-'CBA Inputs'!$F22+1),0)*IF(AH$58=0,0,1)*CapitalCost_ACTIVE*AH$55</f>
        <v>0</v>
      </c>
      <c r="AI65" s="17">
        <f>-IF(AND(AI$58&gt;='CBA Inputs'!$F22,AI$58&lt;='CBA Inputs'!$G22),'CBA Inputs'!$E22/('CBA Inputs'!$G22-'CBA Inputs'!$F22+1),0)*IF(AI$58=0,0,1)*CapitalCost_ACTIVE*AI$55</f>
        <v>0</v>
      </c>
      <c r="AJ65" s="17">
        <f>-IF(AND(AJ$58&gt;='CBA Inputs'!$F22,AJ$58&lt;='CBA Inputs'!$G22),'CBA Inputs'!$E22/('CBA Inputs'!$G22-'CBA Inputs'!$F22+1),0)*IF(AJ$58=0,0,1)*CapitalCost_ACTIVE*AJ$55</f>
        <v>0</v>
      </c>
      <c r="AK65" s="178">
        <f>IFERROR(PMT(DiscountRate_ACTIVE,'CBA Inputs'!I22,'CBA Inputs'!E22),0)</f>
        <v>-52863557.973266363</v>
      </c>
      <c r="AM65" s="24">
        <f>'CBA Inputs'!L22</f>
        <v>2</v>
      </c>
      <c r="AN65" s="24" t="str">
        <f>'CBA Inputs'!M22</f>
        <v>Option 1B</v>
      </c>
      <c r="AO65" s="24" t="str">
        <f>'CBA Inputs'!N22</f>
        <v>Substation</v>
      </c>
      <c r="AP65" s="12" t="s">
        <v>35</v>
      </c>
      <c r="AQ65" s="18">
        <f t="shared" si="29"/>
        <v>0</v>
      </c>
      <c r="AR65" s="17">
        <f>-IF(AND(G$58&gt;='CBA Inputs'!$P22,G$58&lt;='CBA Inputs'!$Q22),'CBA Inputs'!$O22/('CBA Inputs'!$Q22-'CBA Inputs'!$P22+1),0)*IF(G$58=0,0,1)*CapitalCost_ACTIVE*G$55*IF(Scenario_Select='CBA Inputs'!$T22,1,0)</f>
        <v>0</v>
      </c>
      <c r="AS65" s="17">
        <f>-IF(AND(H$58&gt;='CBA Inputs'!$P22,H$58&lt;='CBA Inputs'!$Q22),'CBA Inputs'!$O22/('CBA Inputs'!$Q22-'CBA Inputs'!$P22+1),0)*IF(H$58=0,0,1)*CapitalCost_ACTIVE*H$55*IF(Scenario_Select='CBA Inputs'!$T22,1,0)</f>
        <v>0</v>
      </c>
      <c r="AT65" s="17">
        <f>-IF(AND(I$58&gt;='CBA Inputs'!$P22,I$58&lt;='CBA Inputs'!$Q22),'CBA Inputs'!$O22/('CBA Inputs'!$Q22-'CBA Inputs'!$P22+1),0)*IF(I$58=0,0,1)*CapitalCost_ACTIVE*I$55*IF(Scenario_Select='CBA Inputs'!$T22,1,0)</f>
        <v>0</v>
      </c>
      <c r="AU65" s="17">
        <f>-IF(AND(J$58&gt;='CBA Inputs'!$P22,J$58&lt;='CBA Inputs'!$Q22),'CBA Inputs'!$O22/('CBA Inputs'!$Q22-'CBA Inputs'!$P22+1),0)*IF(J$58=0,0,1)*CapitalCost_ACTIVE*J$55*IF(Scenario_Select='CBA Inputs'!$T22,1,0)</f>
        <v>0</v>
      </c>
      <c r="AV65" s="17">
        <f>-IF(AND(K$58&gt;='CBA Inputs'!$P22,K$58&lt;='CBA Inputs'!$Q22),'CBA Inputs'!$O22/('CBA Inputs'!$Q22-'CBA Inputs'!$P22+1),0)*IF(K$58=0,0,1)*CapitalCost_ACTIVE*K$55*IF(Scenario_Select='CBA Inputs'!$T22,1,0)</f>
        <v>0</v>
      </c>
      <c r="AW65" s="17">
        <f>-IF(AND(L$58&gt;='CBA Inputs'!$P22,L$58&lt;='CBA Inputs'!$Q22),'CBA Inputs'!$O22/('CBA Inputs'!$Q22-'CBA Inputs'!$P22+1),0)*IF(L$58=0,0,1)*CapitalCost_ACTIVE*L$55*IF(Scenario_Select='CBA Inputs'!$T22,1,0)</f>
        <v>0</v>
      </c>
      <c r="AX65" s="17">
        <f>-IF(AND(M$58&gt;='CBA Inputs'!$P22,M$58&lt;='CBA Inputs'!$Q22),'CBA Inputs'!$O22/('CBA Inputs'!$Q22-'CBA Inputs'!$P22+1),0)*IF(M$58=0,0,1)*CapitalCost_ACTIVE*M$55*IF(Scenario_Select='CBA Inputs'!$T22,1,0)</f>
        <v>0</v>
      </c>
      <c r="AY65" s="17">
        <f>-IF(AND(N$58&gt;='CBA Inputs'!$P22,N$58&lt;='CBA Inputs'!$Q22),'CBA Inputs'!$O22/('CBA Inputs'!$Q22-'CBA Inputs'!$P22+1),0)*IF(N$58=0,0,1)*CapitalCost_ACTIVE*N$55*IF(Scenario_Select='CBA Inputs'!$T22,1,0)</f>
        <v>0</v>
      </c>
      <c r="AZ65" s="17">
        <f>-IF(AND(O$58&gt;='CBA Inputs'!$P22,O$58&lt;='CBA Inputs'!$Q22),'CBA Inputs'!$O22/('CBA Inputs'!$Q22-'CBA Inputs'!$P22+1),0)*IF(O$58=0,0,1)*CapitalCost_ACTIVE*O$55*IF(Scenario_Select='CBA Inputs'!$T22,1,0)</f>
        <v>0</v>
      </c>
      <c r="BA65" s="17">
        <f>-IF(AND(P$58&gt;='CBA Inputs'!$P22,P$58&lt;='CBA Inputs'!$Q22),'CBA Inputs'!$O22/('CBA Inputs'!$Q22-'CBA Inputs'!$P22+1),0)*IF(P$58=0,0,1)*CapitalCost_ACTIVE*P$55*IF(Scenario_Select='CBA Inputs'!$T22,1,0)</f>
        <v>0</v>
      </c>
      <c r="BB65" s="17">
        <f>-IF(AND(Q$58&gt;='CBA Inputs'!$P22,Q$58&lt;='CBA Inputs'!$Q22),'CBA Inputs'!$O22/('CBA Inputs'!$Q22-'CBA Inputs'!$P22+1),0)*IF(Q$58=0,0,1)*CapitalCost_ACTIVE*Q$55*IF(Scenario_Select='CBA Inputs'!$T22,1,0)</f>
        <v>0</v>
      </c>
      <c r="BC65" s="17">
        <f>-IF(AND(R$58&gt;='CBA Inputs'!$P22,R$58&lt;='CBA Inputs'!$Q22),'CBA Inputs'!$O22/('CBA Inputs'!$Q22-'CBA Inputs'!$P22+1),0)*IF(R$58=0,0,1)*CapitalCost_ACTIVE*R$55*IF(Scenario_Select='CBA Inputs'!$T22,1,0)</f>
        <v>0</v>
      </c>
      <c r="BD65" s="17">
        <f>-IF(AND(S$58&gt;='CBA Inputs'!$P22,S$58&lt;='CBA Inputs'!$Q22),'CBA Inputs'!$O22/('CBA Inputs'!$Q22-'CBA Inputs'!$P22+1),0)*IF(S$58=0,0,1)*CapitalCost_ACTIVE*S$55*IF(Scenario_Select='CBA Inputs'!$T22,1,0)</f>
        <v>0</v>
      </c>
      <c r="BE65" s="17">
        <f>-IF(AND(T$58&gt;='CBA Inputs'!$P22,T$58&lt;='CBA Inputs'!$Q22),'CBA Inputs'!$O22/('CBA Inputs'!$Q22-'CBA Inputs'!$P22+1),0)*IF(T$58=0,0,1)*CapitalCost_ACTIVE*T$55*IF(Scenario_Select='CBA Inputs'!$T22,1,0)</f>
        <v>0</v>
      </c>
      <c r="BF65" s="17">
        <f>-IF(AND(U$58&gt;='CBA Inputs'!$P22,U$58&lt;='CBA Inputs'!$Q22),'CBA Inputs'!$O22/('CBA Inputs'!$Q22-'CBA Inputs'!$P22+1),0)*IF(U$58=0,0,1)*CapitalCost_ACTIVE*U$55*IF(Scenario_Select='CBA Inputs'!$T22,1,0)</f>
        <v>0</v>
      </c>
      <c r="BG65" s="17">
        <f>-IF(AND(V$58&gt;='CBA Inputs'!$P22,V$58&lt;='CBA Inputs'!$Q22),'CBA Inputs'!$O22/('CBA Inputs'!$Q22-'CBA Inputs'!$P22+1),0)*IF(V$58=0,0,1)*CapitalCost_ACTIVE*V$55*IF(Scenario_Select='CBA Inputs'!$T22,1,0)</f>
        <v>0</v>
      </c>
      <c r="BH65" s="17">
        <f>-IF(AND(W$58&gt;='CBA Inputs'!$P22,W$58&lt;='CBA Inputs'!$Q22),'CBA Inputs'!$O22/('CBA Inputs'!$Q22-'CBA Inputs'!$P22+1),0)*IF(W$58=0,0,1)*CapitalCost_ACTIVE*W$55*IF(Scenario_Select='CBA Inputs'!$T22,1,0)</f>
        <v>0</v>
      </c>
      <c r="BI65" s="17">
        <f>-IF(AND(X$58&gt;='CBA Inputs'!$P22,X$58&lt;='CBA Inputs'!$Q22),'CBA Inputs'!$O22/('CBA Inputs'!$Q22-'CBA Inputs'!$P22+1),0)*IF(X$58=0,0,1)*CapitalCost_ACTIVE*X$55*IF(Scenario_Select='CBA Inputs'!$T22,1,0)</f>
        <v>0</v>
      </c>
      <c r="BJ65" s="17">
        <f>-IF(AND(Y$58&gt;='CBA Inputs'!$P22,Y$58&lt;='CBA Inputs'!$Q22),'CBA Inputs'!$O22/('CBA Inputs'!$Q22-'CBA Inputs'!$P22+1),0)*IF(Y$58=0,0,1)*CapitalCost_ACTIVE*Y$55*IF(Scenario_Select='CBA Inputs'!$T22,1,0)</f>
        <v>0</v>
      </c>
      <c r="BK65" s="17">
        <f>-IF(AND(Z$58&gt;='CBA Inputs'!$P22,Z$58&lt;='CBA Inputs'!$Q22),'CBA Inputs'!$O22/('CBA Inputs'!$Q22-'CBA Inputs'!$P22+1),0)*IF(Z$58=0,0,1)*CapitalCost_ACTIVE*Z$55*IF(Scenario_Select='CBA Inputs'!$T22,1,0)</f>
        <v>0</v>
      </c>
      <c r="BL65" s="17">
        <f>-IF(AND(AA$58&gt;='CBA Inputs'!$P22,AA$58&lt;='CBA Inputs'!$Q22),'CBA Inputs'!$O22/('CBA Inputs'!$Q22-'CBA Inputs'!$P22+1),0)*IF(AA$58=0,0,1)*CapitalCost_ACTIVE*AA$55*IF(Scenario_Select='CBA Inputs'!$T22,1,0)</f>
        <v>0</v>
      </c>
      <c r="BM65" s="17">
        <f>-IF(AND(AB$58&gt;='CBA Inputs'!$P22,AB$58&lt;='CBA Inputs'!$Q22),'CBA Inputs'!$O22/('CBA Inputs'!$Q22-'CBA Inputs'!$P22+1),0)*IF(AB$58=0,0,1)*CapitalCost_ACTIVE*AB$55*IF(Scenario_Select='CBA Inputs'!$T22,1,0)</f>
        <v>0</v>
      </c>
      <c r="BN65" s="17">
        <f>-IF(AND(AC$58&gt;='CBA Inputs'!$P22,AC$58&lt;='CBA Inputs'!$Q22),'CBA Inputs'!$O22/('CBA Inputs'!$Q22-'CBA Inputs'!$P22+1),0)*IF(AC$58=0,0,1)*CapitalCost_ACTIVE*AC$55*IF(Scenario_Select='CBA Inputs'!$T22,1,0)</f>
        <v>0</v>
      </c>
      <c r="BO65" s="17">
        <f>-IF(AND(AD$58&gt;='CBA Inputs'!$P22,AD$58&lt;='CBA Inputs'!$Q22),'CBA Inputs'!$O22/('CBA Inputs'!$Q22-'CBA Inputs'!$P22+1),0)*IF(AD$58=0,0,1)*CapitalCost_ACTIVE*AD$55*IF(Scenario_Select='CBA Inputs'!$T22,1,0)</f>
        <v>0</v>
      </c>
      <c r="BP65" s="17">
        <f>-IF(AND(AE$58&gt;='CBA Inputs'!$P22,AE$58&lt;='CBA Inputs'!$Q22),'CBA Inputs'!$O22/('CBA Inputs'!$Q22-'CBA Inputs'!$P22+1),0)*IF(AE$58=0,0,1)*CapitalCost_ACTIVE*AE$55*IF(Scenario_Select='CBA Inputs'!$T22,1,0)</f>
        <v>0</v>
      </c>
      <c r="BQ65" s="17">
        <f>-IF(AND(AF$58&gt;='CBA Inputs'!$P22,AF$58&lt;='CBA Inputs'!$Q22),'CBA Inputs'!$O22/('CBA Inputs'!$Q22-'CBA Inputs'!$P22+1),0)*IF(AF$58=0,0,1)*CapitalCost_ACTIVE*AF$55*IF(Scenario_Select='CBA Inputs'!$T22,1,0)</f>
        <v>0</v>
      </c>
      <c r="BR65" s="17">
        <f>-IF(AND(AG$58&gt;='CBA Inputs'!$P22,AG$58&lt;='CBA Inputs'!$Q22),'CBA Inputs'!$O22/('CBA Inputs'!$Q22-'CBA Inputs'!$P22+1),0)*IF(AG$58=0,0,1)*CapitalCost_ACTIVE*AG$55*IF(Scenario_Select='CBA Inputs'!$T22,1,0)</f>
        <v>0</v>
      </c>
      <c r="BS65" s="17">
        <f>-IF(AND(AH$58&gt;='CBA Inputs'!$P22,AH$58&lt;='CBA Inputs'!$Q22),'CBA Inputs'!$O22/('CBA Inputs'!$Q22-'CBA Inputs'!$P22+1),0)*IF(AH$58=0,0,1)*CapitalCost_ACTIVE*AH$55*IF(Scenario_Select='CBA Inputs'!$T22,1,0)</f>
        <v>0</v>
      </c>
      <c r="BT65" s="17">
        <f>-IF(AND(AI$58&gt;='CBA Inputs'!$P22,AI$58&lt;='CBA Inputs'!$Q22),'CBA Inputs'!$O22/('CBA Inputs'!$Q22-'CBA Inputs'!$P22+1),0)*IF(AI$58=0,0,1)*CapitalCost_ACTIVE*AI$55*IF(Scenario_Select='CBA Inputs'!$T22,1,0)</f>
        <v>0</v>
      </c>
      <c r="BU65" s="17">
        <f>-IF(AND(AJ$58&gt;='CBA Inputs'!$P22,AJ$58&lt;='CBA Inputs'!$Q22),'CBA Inputs'!$O22/('CBA Inputs'!$Q22-'CBA Inputs'!$P22+1),0)*IF(AJ$58=0,0,1)*CapitalCost_ACTIVE*AJ$55*IF(Scenario_Select='CBA Inputs'!$T22,1,0)</f>
        <v>0</v>
      </c>
      <c r="BV65" s="178">
        <f>IFERROR(PMT(DiscountRate_ACTIVE,'CBA Inputs'!S22,'CBA Inputs'!O22),0)*IF(Scenario_Select='CBA Inputs'!$T22,1,0)</f>
        <v>0</v>
      </c>
    </row>
    <row r="66" spans="1:74" x14ac:dyDescent="0.35">
      <c r="A66" s="134"/>
      <c r="B66" s="24">
        <f>+'CBA Inputs'!B23</f>
        <v>2</v>
      </c>
      <c r="C66" s="25" t="str">
        <f>+'CBA Inputs'!C23</f>
        <v>Option 1B</v>
      </c>
      <c r="D66" s="25" t="str">
        <f>'CBA Inputs'!D23</f>
        <v>Substation</v>
      </c>
      <c r="E66" s="12" t="s">
        <v>35</v>
      </c>
      <c r="F66" s="18">
        <f t="shared" si="28"/>
        <v>-97245538.169073299</v>
      </c>
      <c r="G66" s="17">
        <f>-IF(AND(G$58&gt;='CBA Inputs'!$F23,G$58&lt;='CBA Inputs'!$G23),'CBA Inputs'!$E23/('CBA Inputs'!$G23-'CBA Inputs'!$F23+1),0)*IF(G$58=0,0,1)*CapitalCost_ACTIVE*G$55</f>
        <v>0</v>
      </c>
      <c r="H66" s="17">
        <f>-IF(AND(H$58&gt;='CBA Inputs'!$F23,H$58&lt;='CBA Inputs'!$G23),'CBA Inputs'!$E23/('CBA Inputs'!$G23-'CBA Inputs'!$F23+1),0)*IF(H$58=0,0,1)*CapitalCost_ACTIVE*H$55</f>
        <v>-28000000</v>
      </c>
      <c r="I66" s="17">
        <f>-IF(AND(I$58&gt;='CBA Inputs'!$F23,I$58&lt;='CBA Inputs'!$G23),'CBA Inputs'!$E23/('CBA Inputs'!$G23-'CBA Inputs'!$F23+1),0)*IF(I$58=0,0,1)*CapitalCost_ACTIVE*I$55</f>
        <v>-28000000</v>
      </c>
      <c r="J66" s="17">
        <f>-IF(AND(J$58&gt;='CBA Inputs'!$F23,J$58&lt;='CBA Inputs'!$G23),'CBA Inputs'!$E23/('CBA Inputs'!$G23-'CBA Inputs'!$F23+1),0)*IF(J$58=0,0,1)*CapitalCost_ACTIVE*J$55</f>
        <v>-28000000</v>
      </c>
      <c r="K66" s="17">
        <f>-IF(AND(K$58&gt;='CBA Inputs'!$F23,K$58&lt;='CBA Inputs'!$G23),'CBA Inputs'!$E23/('CBA Inputs'!$G23-'CBA Inputs'!$F23+1),0)*IF(K$58=0,0,1)*CapitalCost_ACTIVE*K$55</f>
        <v>-28000000</v>
      </c>
      <c r="L66" s="17">
        <f>-IF(AND(L$58&gt;='CBA Inputs'!$F23,L$58&lt;='CBA Inputs'!$G23),'CBA Inputs'!$E23/('CBA Inputs'!$G23-'CBA Inputs'!$F23+1),0)*IF(L$58=0,0,1)*CapitalCost_ACTIVE*L$55</f>
        <v>0</v>
      </c>
      <c r="M66" s="17">
        <f>-IF(AND(M$58&gt;='CBA Inputs'!$F23,M$58&lt;='CBA Inputs'!$G23),'CBA Inputs'!$E23/('CBA Inputs'!$G23-'CBA Inputs'!$F23+1),0)*IF(M$58=0,0,1)*CapitalCost_ACTIVE*M$55</f>
        <v>0</v>
      </c>
      <c r="N66" s="17">
        <f>-IF(AND(N$58&gt;='CBA Inputs'!$F23,N$58&lt;='CBA Inputs'!$G23),'CBA Inputs'!$E23/('CBA Inputs'!$G23-'CBA Inputs'!$F23+1),0)*IF(N$58=0,0,1)*CapitalCost_ACTIVE*N$55</f>
        <v>0</v>
      </c>
      <c r="O66" s="17">
        <f>-IF(AND(O$58&gt;='CBA Inputs'!$F23,O$58&lt;='CBA Inputs'!$G23),'CBA Inputs'!$E23/('CBA Inputs'!$G23-'CBA Inputs'!$F23+1),0)*IF(O$58=0,0,1)*CapitalCost_ACTIVE*O$55</f>
        <v>0</v>
      </c>
      <c r="P66" s="17">
        <f>-IF(AND(P$58&gt;='CBA Inputs'!$F23,P$58&lt;='CBA Inputs'!$G23),'CBA Inputs'!$E23/('CBA Inputs'!$G23-'CBA Inputs'!$F23+1),0)*IF(P$58=0,0,1)*CapitalCost_ACTIVE*P$55</f>
        <v>0</v>
      </c>
      <c r="Q66" s="17">
        <f>-IF(AND(Q$58&gt;='CBA Inputs'!$F23,Q$58&lt;='CBA Inputs'!$G23),'CBA Inputs'!$E23/('CBA Inputs'!$G23-'CBA Inputs'!$F23+1),0)*IF(Q$58=0,0,1)*CapitalCost_ACTIVE*Q$55</f>
        <v>0</v>
      </c>
      <c r="R66" s="17">
        <f>-IF(AND(R$58&gt;='CBA Inputs'!$F23,R$58&lt;='CBA Inputs'!$G23),'CBA Inputs'!$E23/('CBA Inputs'!$G23-'CBA Inputs'!$F23+1),0)*IF(R$58=0,0,1)*CapitalCost_ACTIVE*R$55</f>
        <v>0</v>
      </c>
      <c r="S66" s="17">
        <f>-IF(AND(S$58&gt;='CBA Inputs'!$F23,S$58&lt;='CBA Inputs'!$G23),'CBA Inputs'!$E23/('CBA Inputs'!$G23-'CBA Inputs'!$F23+1),0)*IF(S$58=0,0,1)*CapitalCost_ACTIVE*S$55</f>
        <v>0</v>
      </c>
      <c r="T66" s="17">
        <f>-IF(AND(T$58&gt;='CBA Inputs'!$F23,T$58&lt;='CBA Inputs'!$G23),'CBA Inputs'!$E23/('CBA Inputs'!$G23-'CBA Inputs'!$F23+1),0)*IF(T$58=0,0,1)*CapitalCost_ACTIVE*T$55</f>
        <v>0</v>
      </c>
      <c r="U66" s="17">
        <f>-IF(AND(U$58&gt;='CBA Inputs'!$F23,U$58&lt;='CBA Inputs'!$G23),'CBA Inputs'!$E23/('CBA Inputs'!$G23-'CBA Inputs'!$F23+1),0)*IF(U$58=0,0,1)*CapitalCost_ACTIVE*U$55</f>
        <v>0</v>
      </c>
      <c r="V66" s="17">
        <f>-IF(AND(V$58&gt;='CBA Inputs'!$F23,V$58&lt;='CBA Inputs'!$G23),'CBA Inputs'!$E23/('CBA Inputs'!$G23-'CBA Inputs'!$F23+1),0)*IF(V$58=0,0,1)*CapitalCost_ACTIVE*V$55</f>
        <v>0</v>
      </c>
      <c r="W66" s="17">
        <f>-IF(AND(W$58&gt;='CBA Inputs'!$F23,W$58&lt;='CBA Inputs'!$G23),'CBA Inputs'!$E23/('CBA Inputs'!$G23-'CBA Inputs'!$F23+1),0)*IF(W$58=0,0,1)*CapitalCost_ACTIVE*W$55</f>
        <v>0</v>
      </c>
      <c r="X66" s="17">
        <f>-IF(AND(X$58&gt;='CBA Inputs'!$F23,X$58&lt;='CBA Inputs'!$G23),'CBA Inputs'!$E23/('CBA Inputs'!$G23-'CBA Inputs'!$F23+1),0)*IF(X$58=0,0,1)*CapitalCost_ACTIVE*X$55</f>
        <v>0</v>
      </c>
      <c r="Y66" s="17">
        <f>-IF(AND(Y$58&gt;='CBA Inputs'!$F23,Y$58&lt;='CBA Inputs'!$G23),'CBA Inputs'!$E23/('CBA Inputs'!$G23-'CBA Inputs'!$F23+1),0)*IF(Y$58=0,0,1)*CapitalCost_ACTIVE*Y$55</f>
        <v>0</v>
      </c>
      <c r="Z66" s="17">
        <f>-IF(AND(Z$58&gt;='CBA Inputs'!$F23,Z$58&lt;='CBA Inputs'!$G23),'CBA Inputs'!$E23/('CBA Inputs'!$G23-'CBA Inputs'!$F23+1),0)*IF(Z$58=0,0,1)*CapitalCost_ACTIVE*Z$55</f>
        <v>0</v>
      </c>
      <c r="AA66" s="17">
        <f>-IF(AND(AA$58&gt;='CBA Inputs'!$F23,AA$58&lt;='CBA Inputs'!$G23),'CBA Inputs'!$E23/('CBA Inputs'!$G23-'CBA Inputs'!$F23+1),0)*IF(AA$58=0,0,1)*CapitalCost_ACTIVE*AA$55</f>
        <v>0</v>
      </c>
      <c r="AB66" s="17">
        <f>-IF(AND(AB$58&gt;='CBA Inputs'!$F23,AB$58&lt;='CBA Inputs'!$G23),'CBA Inputs'!$E23/('CBA Inputs'!$G23-'CBA Inputs'!$F23+1),0)*IF(AB$58=0,0,1)*CapitalCost_ACTIVE*AB$55</f>
        <v>0</v>
      </c>
      <c r="AC66" s="17">
        <f>-IF(AND(AC$58&gt;='CBA Inputs'!$F23,AC$58&lt;='CBA Inputs'!$G23),'CBA Inputs'!$E23/('CBA Inputs'!$G23-'CBA Inputs'!$F23+1),0)*IF(AC$58=0,0,1)*CapitalCost_ACTIVE*AC$55</f>
        <v>0</v>
      </c>
      <c r="AD66" s="17">
        <f>-IF(AND(AD$58&gt;='CBA Inputs'!$F23,AD$58&lt;='CBA Inputs'!$G23),'CBA Inputs'!$E23/('CBA Inputs'!$G23-'CBA Inputs'!$F23+1),0)*IF(AD$58=0,0,1)*CapitalCost_ACTIVE*AD$55</f>
        <v>0</v>
      </c>
      <c r="AE66" s="17">
        <f>-IF(AND(AE$58&gt;='CBA Inputs'!$F23,AE$58&lt;='CBA Inputs'!$G23),'CBA Inputs'!$E23/('CBA Inputs'!$G23-'CBA Inputs'!$F23+1),0)*IF(AE$58=0,0,1)*CapitalCost_ACTIVE*AE$55</f>
        <v>0</v>
      </c>
      <c r="AF66" s="17">
        <f>-IF(AND(AF$58&gt;='CBA Inputs'!$F23,AF$58&lt;='CBA Inputs'!$G23),'CBA Inputs'!$E23/('CBA Inputs'!$G23-'CBA Inputs'!$F23+1),0)*IF(AF$58=0,0,1)*CapitalCost_ACTIVE*AF$55</f>
        <v>0</v>
      </c>
      <c r="AG66" s="17">
        <f>-IF(AND(AG$58&gt;='CBA Inputs'!$F23,AG$58&lt;='CBA Inputs'!$G23),'CBA Inputs'!$E23/('CBA Inputs'!$G23-'CBA Inputs'!$F23+1),0)*IF(AG$58=0,0,1)*CapitalCost_ACTIVE*AG$55</f>
        <v>0</v>
      </c>
      <c r="AH66" s="17">
        <f>-IF(AND(AH$58&gt;='CBA Inputs'!$F23,AH$58&lt;='CBA Inputs'!$G23),'CBA Inputs'!$E23/('CBA Inputs'!$G23-'CBA Inputs'!$F23+1),0)*IF(AH$58=0,0,1)*CapitalCost_ACTIVE*AH$55</f>
        <v>0</v>
      </c>
      <c r="AI66" s="17">
        <f>-IF(AND(AI$58&gt;='CBA Inputs'!$F23,AI$58&lt;='CBA Inputs'!$G23),'CBA Inputs'!$E23/('CBA Inputs'!$G23-'CBA Inputs'!$F23+1),0)*IF(AI$58=0,0,1)*CapitalCost_ACTIVE*AI$55</f>
        <v>0</v>
      </c>
      <c r="AJ66" s="17">
        <f>-IF(AND(AJ$58&gt;='CBA Inputs'!$F23,AJ$58&lt;='CBA Inputs'!$G23),'CBA Inputs'!$E23/('CBA Inputs'!$G23-'CBA Inputs'!$F23+1),0)*IF(AJ$58=0,0,1)*CapitalCost_ACTIVE*AJ$55</f>
        <v>0</v>
      </c>
      <c r="AK66" s="178">
        <f>IFERROR(PMT(DiscountRate_ACTIVE,'CBA Inputs'!I23,'CBA Inputs'!E23),0)</f>
        <v>-7350085.5779050142</v>
      </c>
      <c r="AL66" s="134"/>
      <c r="AM66" s="24">
        <f>'CBA Inputs'!L23</f>
        <v>2</v>
      </c>
      <c r="AN66" s="24" t="str">
        <f>'CBA Inputs'!M23</f>
        <v>Option 1B</v>
      </c>
      <c r="AO66" s="24" t="str">
        <f>'CBA Inputs'!N23</f>
        <v>Substation</v>
      </c>
      <c r="AP66" s="12" t="s">
        <v>35</v>
      </c>
      <c r="AQ66" s="18">
        <f t="shared" si="29"/>
        <v>0</v>
      </c>
      <c r="AR66" s="17">
        <f>-IF(AND(G$58&gt;='CBA Inputs'!$P23,G$58&lt;='CBA Inputs'!$Q23),'CBA Inputs'!$O23/('CBA Inputs'!$Q23-'CBA Inputs'!$P23+1),0)*IF(G$58=0,0,1)*CapitalCost_ACTIVE*G$55*IF(Scenario_Select='CBA Inputs'!$T23,1,0)</f>
        <v>0</v>
      </c>
      <c r="AS66" s="17">
        <f>-IF(AND(H$58&gt;='CBA Inputs'!$P23,H$58&lt;='CBA Inputs'!$Q23),'CBA Inputs'!$O23/('CBA Inputs'!$Q23-'CBA Inputs'!$P23+1),0)*IF(H$58=0,0,1)*CapitalCost_ACTIVE*H$55*IF(Scenario_Select='CBA Inputs'!$T23,1,0)</f>
        <v>0</v>
      </c>
      <c r="AT66" s="17">
        <f>-IF(AND(I$58&gt;='CBA Inputs'!$P23,I$58&lt;='CBA Inputs'!$Q23),'CBA Inputs'!$O23/('CBA Inputs'!$Q23-'CBA Inputs'!$P23+1),0)*IF(I$58=0,0,1)*CapitalCost_ACTIVE*I$55*IF(Scenario_Select='CBA Inputs'!$T23,1,0)</f>
        <v>0</v>
      </c>
      <c r="AU66" s="17">
        <f>-IF(AND(J$58&gt;='CBA Inputs'!$P23,J$58&lt;='CBA Inputs'!$Q23),'CBA Inputs'!$O23/('CBA Inputs'!$Q23-'CBA Inputs'!$P23+1),0)*IF(J$58=0,0,1)*CapitalCost_ACTIVE*J$55*IF(Scenario_Select='CBA Inputs'!$T23,1,0)</f>
        <v>0</v>
      </c>
      <c r="AV66" s="17">
        <f>-IF(AND(K$58&gt;='CBA Inputs'!$P23,K$58&lt;='CBA Inputs'!$Q23),'CBA Inputs'!$O23/('CBA Inputs'!$Q23-'CBA Inputs'!$P23+1),0)*IF(K$58=0,0,1)*CapitalCost_ACTIVE*K$55*IF(Scenario_Select='CBA Inputs'!$T23,1,0)</f>
        <v>0</v>
      </c>
      <c r="AW66" s="17">
        <f>-IF(AND(L$58&gt;='CBA Inputs'!$P23,L$58&lt;='CBA Inputs'!$Q23),'CBA Inputs'!$O23/('CBA Inputs'!$Q23-'CBA Inputs'!$P23+1),0)*IF(L$58=0,0,1)*CapitalCost_ACTIVE*L$55*IF(Scenario_Select='CBA Inputs'!$T23,1,0)</f>
        <v>0</v>
      </c>
      <c r="AX66" s="17">
        <f>-IF(AND(M$58&gt;='CBA Inputs'!$P23,M$58&lt;='CBA Inputs'!$Q23),'CBA Inputs'!$O23/('CBA Inputs'!$Q23-'CBA Inputs'!$P23+1),0)*IF(M$58=0,0,1)*CapitalCost_ACTIVE*M$55*IF(Scenario_Select='CBA Inputs'!$T23,1,0)</f>
        <v>0</v>
      </c>
      <c r="AY66" s="17">
        <f>-IF(AND(N$58&gt;='CBA Inputs'!$P23,N$58&lt;='CBA Inputs'!$Q23),'CBA Inputs'!$O23/('CBA Inputs'!$Q23-'CBA Inputs'!$P23+1),0)*IF(N$58=0,0,1)*CapitalCost_ACTIVE*N$55*IF(Scenario_Select='CBA Inputs'!$T23,1,0)</f>
        <v>0</v>
      </c>
      <c r="AZ66" s="17">
        <f>-IF(AND(O$58&gt;='CBA Inputs'!$P23,O$58&lt;='CBA Inputs'!$Q23),'CBA Inputs'!$O23/('CBA Inputs'!$Q23-'CBA Inputs'!$P23+1),0)*IF(O$58=0,0,1)*CapitalCost_ACTIVE*O$55*IF(Scenario_Select='CBA Inputs'!$T23,1,0)</f>
        <v>0</v>
      </c>
      <c r="BA66" s="17">
        <f>-IF(AND(P$58&gt;='CBA Inputs'!$P23,P$58&lt;='CBA Inputs'!$Q23),'CBA Inputs'!$O23/('CBA Inputs'!$Q23-'CBA Inputs'!$P23+1),0)*IF(P$58=0,0,1)*CapitalCost_ACTIVE*P$55*IF(Scenario_Select='CBA Inputs'!$T23,1,0)</f>
        <v>0</v>
      </c>
      <c r="BB66" s="17">
        <f>-IF(AND(Q$58&gt;='CBA Inputs'!$P23,Q$58&lt;='CBA Inputs'!$Q23),'CBA Inputs'!$O23/('CBA Inputs'!$Q23-'CBA Inputs'!$P23+1),0)*IF(Q$58=0,0,1)*CapitalCost_ACTIVE*Q$55*IF(Scenario_Select='CBA Inputs'!$T23,1,0)</f>
        <v>0</v>
      </c>
      <c r="BC66" s="17">
        <f>-IF(AND(R$58&gt;='CBA Inputs'!$P23,R$58&lt;='CBA Inputs'!$Q23),'CBA Inputs'!$O23/('CBA Inputs'!$Q23-'CBA Inputs'!$P23+1),0)*IF(R$58=0,0,1)*CapitalCost_ACTIVE*R$55*IF(Scenario_Select='CBA Inputs'!$T23,1,0)</f>
        <v>0</v>
      </c>
      <c r="BD66" s="17">
        <f>-IF(AND(S$58&gt;='CBA Inputs'!$P23,S$58&lt;='CBA Inputs'!$Q23),'CBA Inputs'!$O23/('CBA Inputs'!$Q23-'CBA Inputs'!$P23+1),0)*IF(S$58=0,0,1)*CapitalCost_ACTIVE*S$55*IF(Scenario_Select='CBA Inputs'!$T23,1,0)</f>
        <v>0</v>
      </c>
      <c r="BE66" s="17">
        <f>-IF(AND(T$58&gt;='CBA Inputs'!$P23,T$58&lt;='CBA Inputs'!$Q23),'CBA Inputs'!$O23/('CBA Inputs'!$Q23-'CBA Inputs'!$P23+1),0)*IF(T$58=0,0,1)*CapitalCost_ACTIVE*T$55*IF(Scenario_Select='CBA Inputs'!$T23,1,0)</f>
        <v>0</v>
      </c>
      <c r="BF66" s="17">
        <f>-IF(AND(U$58&gt;='CBA Inputs'!$P23,U$58&lt;='CBA Inputs'!$Q23),'CBA Inputs'!$O23/('CBA Inputs'!$Q23-'CBA Inputs'!$P23+1),0)*IF(U$58=0,0,1)*CapitalCost_ACTIVE*U$55*IF(Scenario_Select='CBA Inputs'!$T23,1,0)</f>
        <v>0</v>
      </c>
      <c r="BG66" s="17">
        <f>-IF(AND(V$58&gt;='CBA Inputs'!$P23,V$58&lt;='CBA Inputs'!$Q23),'CBA Inputs'!$O23/('CBA Inputs'!$Q23-'CBA Inputs'!$P23+1),0)*IF(V$58=0,0,1)*CapitalCost_ACTIVE*V$55*IF(Scenario_Select='CBA Inputs'!$T23,1,0)</f>
        <v>0</v>
      </c>
      <c r="BH66" s="17">
        <f>-IF(AND(W$58&gt;='CBA Inputs'!$P23,W$58&lt;='CBA Inputs'!$Q23),'CBA Inputs'!$O23/('CBA Inputs'!$Q23-'CBA Inputs'!$P23+1),0)*IF(W$58=0,0,1)*CapitalCost_ACTIVE*W$55*IF(Scenario_Select='CBA Inputs'!$T23,1,0)</f>
        <v>0</v>
      </c>
      <c r="BI66" s="17">
        <f>-IF(AND(X$58&gt;='CBA Inputs'!$P23,X$58&lt;='CBA Inputs'!$Q23),'CBA Inputs'!$O23/('CBA Inputs'!$Q23-'CBA Inputs'!$P23+1),0)*IF(X$58=0,0,1)*CapitalCost_ACTIVE*X$55*IF(Scenario_Select='CBA Inputs'!$T23,1,0)</f>
        <v>0</v>
      </c>
      <c r="BJ66" s="17">
        <f>-IF(AND(Y$58&gt;='CBA Inputs'!$P23,Y$58&lt;='CBA Inputs'!$Q23),'CBA Inputs'!$O23/('CBA Inputs'!$Q23-'CBA Inputs'!$P23+1),0)*IF(Y$58=0,0,1)*CapitalCost_ACTIVE*Y$55*IF(Scenario_Select='CBA Inputs'!$T23,1,0)</f>
        <v>0</v>
      </c>
      <c r="BK66" s="17">
        <f>-IF(AND(Z$58&gt;='CBA Inputs'!$P23,Z$58&lt;='CBA Inputs'!$Q23),'CBA Inputs'!$O23/('CBA Inputs'!$Q23-'CBA Inputs'!$P23+1),0)*IF(Z$58=0,0,1)*CapitalCost_ACTIVE*Z$55*IF(Scenario_Select='CBA Inputs'!$T23,1,0)</f>
        <v>0</v>
      </c>
      <c r="BL66" s="17">
        <f>-IF(AND(AA$58&gt;='CBA Inputs'!$P23,AA$58&lt;='CBA Inputs'!$Q23),'CBA Inputs'!$O23/('CBA Inputs'!$Q23-'CBA Inputs'!$P23+1),0)*IF(AA$58=0,0,1)*CapitalCost_ACTIVE*AA$55*IF(Scenario_Select='CBA Inputs'!$T23,1,0)</f>
        <v>0</v>
      </c>
      <c r="BM66" s="17">
        <f>-IF(AND(AB$58&gt;='CBA Inputs'!$P23,AB$58&lt;='CBA Inputs'!$Q23),'CBA Inputs'!$O23/('CBA Inputs'!$Q23-'CBA Inputs'!$P23+1),0)*IF(AB$58=0,0,1)*CapitalCost_ACTIVE*AB$55*IF(Scenario_Select='CBA Inputs'!$T23,1,0)</f>
        <v>0</v>
      </c>
      <c r="BN66" s="17">
        <f>-IF(AND(AC$58&gt;='CBA Inputs'!$P23,AC$58&lt;='CBA Inputs'!$Q23),'CBA Inputs'!$O23/('CBA Inputs'!$Q23-'CBA Inputs'!$P23+1),0)*IF(AC$58=0,0,1)*CapitalCost_ACTIVE*AC$55*IF(Scenario_Select='CBA Inputs'!$T23,1,0)</f>
        <v>0</v>
      </c>
      <c r="BO66" s="17">
        <f>-IF(AND(AD$58&gt;='CBA Inputs'!$P23,AD$58&lt;='CBA Inputs'!$Q23),'CBA Inputs'!$O23/('CBA Inputs'!$Q23-'CBA Inputs'!$P23+1),0)*IF(AD$58=0,0,1)*CapitalCost_ACTIVE*AD$55*IF(Scenario_Select='CBA Inputs'!$T23,1,0)</f>
        <v>0</v>
      </c>
      <c r="BP66" s="17">
        <f>-IF(AND(AE$58&gt;='CBA Inputs'!$P23,AE$58&lt;='CBA Inputs'!$Q23),'CBA Inputs'!$O23/('CBA Inputs'!$Q23-'CBA Inputs'!$P23+1),0)*IF(AE$58=0,0,1)*CapitalCost_ACTIVE*AE$55*IF(Scenario_Select='CBA Inputs'!$T23,1,0)</f>
        <v>0</v>
      </c>
      <c r="BQ66" s="17">
        <f>-IF(AND(AF$58&gt;='CBA Inputs'!$P23,AF$58&lt;='CBA Inputs'!$Q23),'CBA Inputs'!$O23/('CBA Inputs'!$Q23-'CBA Inputs'!$P23+1),0)*IF(AF$58=0,0,1)*CapitalCost_ACTIVE*AF$55*IF(Scenario_Select='CBA Inputs'!$T23,1,0)</f>
        <v>0</v>
      </c>
      <c r="BR66" s="17">
        <f>-IF(AND(AG$58&gt;='CBA Inputs'!$P23,AG$58&lt;='CBA Inputs'!$Q23),'CBA Inputs'!$O23/('CBA Inputs'!$Q23-'CBA Inputs'!$P23+1),0)*IF(AG$58=0,0,1)*CapitalCost_ACTIVE*AG$55*IF(Scenario_Select='CBA Inputs'!$T23,1,0)</f>
        <v>0</v>
      </c>
      <c r="BS66" s="17">
        <f>-IF(AND(AH$58&gt;='CBA Inputs'!$P23,AH$58&lt;='CBA Inputs'!$Q23),'CBA Inputs'!$O23/('CBA Inputs'!$Q23-'CBA Inputs'!$P23+1),0)*IF(AH$58=0,0,1)*CapitalCost_ACTIVE*AH$55*IF(Scenario_Select='CBA Inputs'!$T23,1,0)</f>
        <v>0</v>
      </c>
      <c r="BT66" s="17">
        <f>-IF(AND(AI$58&gt;='CBA Inputs'!$P23,AI$58&lt;='CBA Inputs'!$Q23),'CBA Inputs'!$O23/('CBA Inputs'!$Q23-'CBA Inputs'!$P23+1),0)*IF(AI$58=0,0,1)*CapitalCost_ACTIVE*AI$55*IF(Scenario_Select='CBA Inputs'!$T23,1,0)</f>
        <v>0</v>
      </c>
      <c r="BU66" s="17">
        <f>-IF(AND(AJ$58&gt;='CBA Inputs'!$P23,AJ$58&lt;='CBA Inputs'!$Q23),'CBA Inputs'!$O23/('CBA Inputs'!$Q23-'CBA Inputs'!$P23+1),0)*IF(AJ$58=0,0,1)*CapitalCost_ACTIVE*AJ$55*IF(Scenario_Select='CBA Inputs'!$T23,1,0)</f>
        <v>0</v>
      </c>
      <c r="BV66" s="178">
        <f>IFERROR(PMT(DiscountRate_ACTIVE,'CBA Inputs'!S23,'CBA Inputs'!O23),0)*IF(Scenario_Select='CBA Inputs'!$T23,1,0)</f>
        <v>0</v>
      </c>
    </row>
    <row r="67" spans="1:74" x14ac:dyDescent="0.35">
      <c r="A67" s="134"/>
      <c r="B67" s="24">
        <f>+'CBA Inputs'!B24</f>
        <v>3</v>
      </c>
      <c r="C67" s="25" t="str">
        <f>+'CBA Inputs'!C24</f>
        <v>Option 1C</v>
      </c>
      <c r="D67" s="25" t="str">
        <f>'CBA Inputs'!D24</f>
        <v xml:space="preserve">Lines </v>
      </c>
      <c r="E67" s="12" t="s">
        <v>35</v>
      </c>
      <c r="F67" s="18">
        <f t="shared" si="28"/>
        <v>-733682854.93631184</v>
      </c>
      <c r="G67" s="17">
        <f>-IF(AND(G$58&gt;='CBA Inputs'!$F24,G$58&lt;='CBA Inputs'!$G24),'CBA Inputs'!$E24/('CBA Inputs'!$G24-'CBA Inputs'!$F24+1),0)*IF(G$58=0,0,1)*CapitalCost_ACTIVE*G$55</f>
        <v>0</v>
      </c>
      <c r="H67" s="17">
        <f>-IF(AND(H$58&gt;='CBA Inputs'!$F24,H$58&lt;='CBA Inputs'!$G24),'CBA Inputs'!$E24/('CBA Inputs'!$G24-'CBA Inputs'!$F24+1),0)*IF(H$58=0,0,1)*CapitalCost_ACTIVE*H$55</f>
        <v>-211250000</v>
      </c>
      <c r="I67" s="17">
        <f>-IF(AND(I$58&gt;='CBA Inputs'!$F24,I$58&lt;='CBA Inputs'!$G24),'CBA Inputs'!$E24/('CBA Inputs'!$G24-'CBA Inputs'!$F24+1),0)*IF(I$58=0,0,1)*CapitalCost_ACTIVE*I$55</f>
        <v>-211250000</v>
      </c>
      <c r="J67" s="17">
        <f>-IF(AND(J$58&gt;='CBA Inputs'!$F24,J$58&lt;='CBA Inputs'!$G24),'CBA Inputs'!$E24/('CBA Inputs'!$G24-'CBA Inputs'!$F24+1),0)*IF(J$58=0,0,1)*CapitalCost_ACTIVE*J$55</f>
        <v>-211250000</v>
      </c>
      <c r="K67" s="17">
        <f>-IF(AND(K$58&gt;='CBA Inputs'!$F24,K$58&lt;='CBA Inputs'!$G24),'CBA Inputs'!$E24/('CBA Inputs'!$G24-'CBA Inputs'!$F24+1),0)*IF(K$58=0,0,1)*CapitalCost_ACTIVE*K$55</f>
        <v>-211250000</v>
      </c>
      <c r="L67" s="17">
        <f>-IF(AND(L$58&gt;='CBA Inputs'!$F24,L$58&lt;='CBA Inputs'!$G24),'CBA Inputs'!$E24/('CBA Inputs'!$G24-'CBA Inputs'!$F24+1),0)*IF(L$58=0,0,1)*CapitalCost_ACTIVE*L$55</f>
        <v>0</v>
      </c>
      <c r="M67" s="17">
        <f>-IF(AND(M$58&gt;='CBA Inputs'!$F24,M$58&lt;='CBA Inputs'!$G24),'CBA Inputs'!$E24/('CBA Inputs'!$G24-'CBA Inputs'!$F24+1),0)*IF(M$58=0,0,1)*CapitalCost_ACTIVE*M$55</f>
        <v>0</v>
      </c>
      <c r="N67" s="17">
        <f>-IF(AND(N$58&gt;='CBA Inputs'!$F24,N$58&lt;='CBA Inputs'!$G24),'CBA Inputs'!$E24/('CBA Inputs'!$G24-'CBA Inputs'!$F24+1),0)*IF(N$58=0,0,1)*CapitalCost_ACTIVE*N$55</f>
        <v>0</v>
      </c>
      <c r="O67" s="17">
        <f>-IF(AND(O$58&gt;='CBA Inputs'!$F24,O$58&lt;='CBA Inputs'!$G24),'CBA Inputs'!$E24/('CBA Inputs'!$G24-'CBA Inputs'!$F24+1),0)*IF(O$58=0,0,1)*CapitalCost_ACTIVE*O$55</f>
        <v>0</v>
      </c>
      <c r="P67" s="17">
        <f>-IF(AND(P$58&gt;='CBA Inputs'!$F24,P$58&lt;='CBA Inputs'!$G24),'CBA Inputs'!$E24/('CBA Inputs'!$G24-'CBA Inputs'!$F24+1),0)*IF(P$58=0,0,1)*CapitalCost_ACTIVE*P$55</f>
        <v>0</v>
      </c>
      <c r="Q67" s="17">
        <f>-IF(AND(Q$58&gt;='CBA Inputs'!$F24,Q$58&lt;='CBA Inputs'!$G24),'CBA Inputs'!$E24/('CBA Inputs'!$G24-'CBA Inputs'!$F24+1),0)*IF(Q$58=0,0,1)*CapitalCost_ACTIVE*Q$55</f>
        <v>0</v>
      </c>
      <c r="R67" s="17">
        <f>-IF(AND(R$58&gt;='CBA Inputs'!$F24,R$58&lt;='CBA Inputs'!$G24),'CBA Inputs'!$E24/('CBA Inputs'!$G24-'CBA Inputs'!$F24+1),0)*IF(R$58=0,0,1)*CapitalCost_ACTIVE*R$55</f>
        <v>0</v>
      </c>
      <c r="S67" s="17">
        <f>-IF(AND(S$58&gt;='CBA Inputs'!$F24,S$58&lt;='CBA Inputs'!$G24),'CBA Inputs'!$E24/('CBA Inputs'!$G24-'CBA Inputs'!$F24+1),0)*IF(S$58=0,0,1)*CapitalCost_ACTIVE*S$55</f>
        <v>0</v>
      </c>
      <c r="T67" s="17">
        <f>-IF(AND(T$58&gt;='CBA Inputs'!$F24,T$58&lt;='CBA Inputs'!$G24),'CBA Inputs'!$E24/('CBA Inputs'!$G24-'CBA Inputs'!$F24+1),0)*IF(T$58=0,0,1)*CapitalCost_ACTIVE*T$55</f>
        <v>0</v>
      </c>
      <c r="U67" s="17">
        <f>-IF(AND(U$58&gt;='CBA Inputs'!$F24,U$58&lt;='CBA Inputs'!$G24),'CBA Inputs'!$E24/('CBA Inputs'!$G24-'CBA Inputs'!$F24+1),0)*IF(U$58=0,0,1)*CapitalCost_ACTIVE*U$55</f>
        <v>0</v>
      </c>
      <c r="V67" s="17">
        <f>-IF(AND(V$58&gt;='CBA Inputs'!$F24,V$58&lt;='CBA Inputs'!$G24),'CBA Inputs'!$E24/('CBA Inputs'!$G24-'CBA Inputs'!$F24+1),0)*IF(V$58=0,0,1)*CapitalCost_ACTIVE*V$55</f>
        <v>0</v>
      </c>
      <c r="W67" s="17">
        <f>-IF(AND(W$58&gt;='CBA Inputs'!$F24,W$58&lt;='CBA Inputs'!$G24),'CBA Inputs'!$E24/('CBA Inputs'!$G24-'CBA Inputs'!$F24+1),0)*IF(W$58=0,0,1)*CapitalCost_ACTIVE*W$55</f>
        <v>0</v>
      </c>
      <c r="X67" s="17">
        <f>-IF(AND(X$58&gt;='CBA Inputs'!$F24,X$58&lt;='CBA Inputs'!$G24),'CBA Inputs'!$E24/('CBA Inputs'!$G24-'CBA Inputs'!$F24+1),0)*IF(X$58=0,0,1)*CapitalCost_ACTIVE*X$55</f>
        <v>0</v>
      </c>
      <c r="Y67" s="17">
        <f>-IF(AND(Y$58&gt;='CBA Inputs'!$F24,Y$58&lt;='CBA Inputs'!$G24),'CBA Inputs'!$E24/('CBA Inputs'!$G24-'CBA Inputs'!$F24+1),0)*IF(Y$58=0,0,1)*CapitalCost_ACTIVE*Y$55</f>
        <v>0</v>
      </c>
      <c r="Z67" s="17">
        <f>-IF(AND(Z$58&gt;='CBA Inputs'!$F24,Z$58&lt;='CBA Inputs'!$G24),'CBA Inputs'!$E24/('CBA Inputs'!$G24-'CBA Inputs'!$F24+1),0)*IF(Z$58=0,0,1)*CapitalCost_ACTIVE*Z$55</f>
        <v>0</v>
      </c>
      <c r="AA67" s="17">
        <f>-IF(AND(AA$58&gt;='CBA Inputs'!$F24,AA$58&lt;='CBA Inputs'!$G24),'CBA Inputs'!$E24/('CBA Inputs'!$G24-'CBA Inputs'!$F24+1),0)*IF(AA$58=0,0,1)*CapitalCost_ACTIVE*AA$55</f>
        <v>0</v>
      </c>
      <c r="AB67" s="17">
        <f>-IF(AND(AB$58&gt;='CBA Inputs'!$F24,AB$58&lt;='CBA Inputs'!$G24),'CBA Inputs'!$E24/('CBA Inputs'!$G24-'CBA Inputs'!$F24+1),0)*IF(AB$58=0,0,1)*CapitalCost_ACTIVE*AB$55</f>
        <v>0</v>
      </c>
      <c r="AC67" s="17">
        <f>-IF(AND(AC$58&gt;='CBA Inputs'!$F24,AC$58&lt;='CBA Inputs'!$G24),'CBA Inputs'!$E24/('CBA Inputs'!$G24-'CBA Inputs'!$F24+1),0)*IF(AC$58=0,0,1)*CapitalCost_ACTIVE*AC$55</f>
        <v>0</v>
      </c>
      <c r="AD67" s="17">
        <f>-IF(AND(AD$58&gt;='CBA Inputs'!$F24,AD$58&lt;='CBA Inputs'!$G24),'CBA Inputs'!$E24/('CBA Inputs'!$G24-'CBA Inputs'!$F24+1),0)*IF(AD$58=0,0,1)*CapitalCost_ACTIVE*AD$55</f>
        <v>0</v>
      </c>
      <c r="AE67" s="17">
        <f>-IF(AND(AE$58&gt;='CBA Inputs'!$F24,AE$58&lt;='CBA Inputs'!$G24),'CBA Inputs'!$E24/('CBA Inputs'!$G24-'CBA Inputs'!$F24+1),0)*IF(AE$58=0,0,1)*CapitalCost_ACTIVE*AE$55</f>
        <v>0</v>
      </c>
      <c r="AF67" s="17">
        <f>-IF(AND(AF$58&gt;='CBA Inputs'!$F24,AF$58&lt;='CBA Inputs'!$G24),'CBA Inputs'!$E24/('CBA Inputs'!$G24-'CBA Inputs'!$F24+1),0)*IF(AF$58=0,0,1)*CapitalCost_ACTIVE*AF$55</f>
        <v>0</v>
      </c>
      <c r="AG67" s="17">
        <f>-IF(AND(AG$58&gt;='CBA Inputs'!$F24,AG$58&lt;='CBA Inputs'!$G24),'CBA Inputs'!$E24/('CBA Inputs'!$G24-'CBA Inputs'!$F24+1),0)*IF(AG$58=0,0,1)*CapitalCost_ACTIVE*AG$55</f>
        <v>0</v>
      </c>
      <c r="AH67" s="17">
        <f>-IF(AND(AH$58&gt;='CBA Inputs'!$F24,AH$58&lt;='CBA Inputs'!$G24),'CBA Inputs'!$E24/('CBA Inputs'!$G24-'CBA Inputs'!$F24+1),0)*IF(AH$58=0,0,1)*CapitalCost_ACTIVE*AH$55</f>
        <v>0</v>
      </c>
      <c r="AI67" s="17">
        <f>-IF(AND(AI$58&gt;='CBA Inputs'!$F24,AI$58&lt;='CBA Inputs'!$G24),'CBA Inputs'!$E24/('CBA Inputs'!$G24-'CBA Inputs'!$F24+1),0)*IF(AI$58=0,0,1)*CapitalCost_ACTIVE*AI$55</f>
        <v>0</v>
      </c>
      <c r="AJ67" s="17">
        <f>-IF(AND(AJ$58&gt;='CBA Inputs'!$F24,AJ$58&lt;='CBA Inputs'!$G24),'CBA Inputs'!$E24/('CBA Inputs'!$G24-'CBA Inputs'!$F24+1),0)*IF(AJ$58=0,0,1)*CapitalCost_ACTIVE*AJ$55</f>
        <v>0</v>
      </c>
      <c r="AK67" s="178">
        <f>IFERROR(PMT(DiscountRate_ACTIVE,'CBA Inputs'!I24,'CBA Inputs'!E24),0)</f>
        <v>-52863557.973266363</v>
      </c>
      <c r="AM67" s="24">
        <f>'CBA Inputs'!L24</f>
        <v>5</v>
      </c>
      <c r="AN67" s="24" t="str">
        <f>'CBA Inputs'!M24</f>
        <v>Option 2B</v>
      </c>
      <c r="AO67" s="24" t="str">
        <f>'CBA Inputs'!N24</f>
        <v>Substation</v>
      </c>
      <c r="AP67" s="12" t="s">
        <v>35</v>
      </c>
      <c r="AQ67" s="18">
        <f t="shared" si="29"/>
        <v>-135369867.88370618</v>
      </c>
      <c r="AR67" s="17">
        <f>-IF(AND(G$58&gt;='CBA Inputs'!$P24,G$58&lt;='CBA Inputs'!$Q24),'CBA Inputs'!$O24/('CBA Inputs'!$Q24-'CBA Inputs'!$P24+1),0)*IF(G$58=0,0,1)*CapitalCost_ACTIVE*G$55*IF(Scenario_Select='CBA Inputs'!$T24,1,0)</f>
        <v>0</v>
      </c>
      <c r="AS67" s="17">
        <f>-IF(AND(H$58&gt;='CBA Inputs'!$P24,H$58&lt;='CBA Inputs'!$Q24),'CBA Inputs'!$O24/('CBA Inputs'!$Q24-'CBA Inputs'!$P24+1),0)*IF(H$58=0,0,1)*CapitalCost_ACTIVE*H$55*IF(Scenario_Select='CBA Inputs'!$T24,1,0)</f>
        <v>0</v>
      </c>
      <c r="AT67" s="17">
        <f>-IF(AND(I$58&gt;='CBA Inputs'!$P24,I$58&lt;='CBA Inputs'!$Q24),'CBA Inputs'!$O24/('CBA Inputs'!$Q24-'CBA Inputs'!$P24+1),0)*IF(I$58=0,0,1)*CapitalCost_ACTIVE*I$55*IF(Scenario_Select='CBA Inputs'!$T24,1,0)</f>
        <v>0</v>
      </c>
      <c r="AU67" s="17">
        <f>-IF(AND(J$58&gt;='CBA Inputs'!$P24,J$58&lt;='CBA Inputs'!$Q24),'CBA Inputs'!$O24/('CBA Inputs'!$Q24-'CBA Inputs'!$P24+1),0)*IF(J$58=0,0,1)*CapitalCost_ACTIVE*J$55*IF(Scenario_Select='CBA Inputs'!$T24,1,0)</f>
        <v>0</v>
      </c>
      <c r="AV67" s="17">
        <f>-IF(AND(K$58&gt;='CBA Inputs'!$P24,K$58&lt;='CBA Inputs'!$Q24),'CBA Inputs'!$O24/('CBA Inputs'!$Q24-'CBA Inputs'!$P24+1),0)*IF(K$58=0,0,1)*CapitalCost_ACTIVE*K$55*IF(Scenario_Select='CBA Inputs'!$T24,1,0)</f>
        <v>0</v>
      </c>
      <c r="AW67" s="17">
        <f>-IF(AND(L$58&gt;='CBA Inputs'!$P24,L$58&lt;='CBA Inputs'!$Q24),'CBA Inputs'!$O24/('CBA Inputs'!$Q24-'CBA Inputs'!$P24+1),0)*IF(L$58=0,0,1)*CapitalCost_ACTIVE*L$55*IF(Scenario_Select='CBA Inputs'!$T24,1,0)</f>
        <v>0</v>
      </c>
      <c r="AX67" s="17">
        <f>-IF(AND(M$58&gt;='CBA Inputs'!$P24,M$58&lt;='CBA Inputs'!$Q24),'CBA Inputs'!$O24/('CBA Inputs'!$Q24-'CBA Inputs'!$P24+1),0)*IF(M$58=0,0,1)*CapitalCost_ACTIVE*M$55*IF(Scenario_Select='CBA Inputs'!$T24,1,0)</f>
        <v>0</v>
      </c>
      <c r="AY67" s="17">
        <f>-IF(AND(N$58&gt;='CBA Inputs'!$P24,N$58&lt;='CBA Inputs'!$Q24),'CBA Inputs'!$O24/('CBA Inputs'!$Q24-'CBA Inputs'!$P24+1),0)*IF(N$58=0,0,1)*CapitalCost_ACTIVE*N$55*IF(Scenario_Select='CBA Inputs'!$T24,1,0)</f>
        <v>0</v>
      </c>
      <c r="AZ67" s="17">
        <f>-IF(AND(O$58&gt;='CBA Inputs'!$P24,O$58&lt;='CBA Inputs'!$Q24),'CBA Inputs'!$O24/('CBA Inputs'!$Q24-'CBA Inputs'!$P24+1),0)*IF(O$58=0,0,1)*CapitalCost_ACTIVE*O$55*IF(Scenario_Select='CBA Inputs'!$T24,1,0)</f>
        <v>-104000000</v>
      </c>
      <c r="BA67" s="17">
        <f>-IF(AND(P$58&gt;='CBA Inputs'!$P24,P$58&lt;='CBA Inputs'!$Q24),'CBA Inputs'!$O24/('CBA Inputs'!$Q24-'CBA Inputs'!$P24+1),0)*IF(P$58=0,0,1)*CapitalCost_ACTIVE*P$55*IF(Scenario_Select='CBA Inputs'!$T24,1,0)</f>
        <v>-104000000</v>
      </c>
      <c r="BB67" s="17">
        <f>-IF(AND(Q$58&gt;='CBA Inputs'!$P24,Q$58&lt;='CBA Inputs'!$Q24),'CBA Inputs'!$O24/('CBA Inputs'!$Q24-'CBA Inputs'!$P24+1),0)*IF(Q$58=0,0,1)*CapitalCost_ACTIVE*Q$55*IF(Scenario_Select='CBA Inputs'!$T24,1,0)</f>
        <v>0</v>
      </c>
      <c r="BC67" s="17">
        <f>-IF(AND(R$58&gt;='CBA Inputs'!$P24,R$58&lt;='CBA Inputs'!$Q24),'CBA Inputs'!$O24/('CBA Inputs'!$Q24-'CBA Inputs'!$P24+1),0)*IF(R$58=0,0,1)*CapitalCost_ACTIVE*R$55*IF(Scenario_Select='CBA Inputs'!$T24,1,0)</f>
        <v>0</v>
      </c>
      <c r="BD67" s="17">
        <f>-IF(AND(S$58&gt;='CBA Inputs'!$P24,S$58&lt;='CBA Inputs'!$Q24),'CBA Inputs'!$O24/('CBA Inputs'!$Q24-'CBA Inputs'!$P24+1),0)*IF(S$58=0,0,1)*CapitalCost_ACTIVE*S$55*IF(Scenario_Select='CBA Inputs'!$T24,1,0)</f>
        <v>0</v>
      </c>
      <c r="BE67" s="17">
        <f>-IF(AND(T$58&gt;='CBA Inputs'!$P24,T$58&lt;='CBA Inputs'!$Q24),'CBA Inputs'!$O24/('CBA Inputs'!$Q24-'CBA Inputs'!$P24+1),0)*IF(T$58=0,0,1)*CapitalCost_ACTIVE*T$55*IF(Scenario_Select='CBA Inputs'!$T24,1,0)</f>
        <v>0</v>
      </c>
      <c r="BF67" s="17">
        <f>-IF(AND(U$58&gt;='CBA Inputs'!$P24,U$58&lt;='CBA Inputs'!$Q24),'CBA Inputs'!$O24/('CBA Inputs'!$Q24-'CBA Inputs'!$P24+1),0)*IF(U$58=0,0,1)*CapitalCost_ACTIVE*U$55*IF(Scenario_Select='CBA Inputs'!$T24,1,0)</f>
        <v>0</v>
      </c>
      <c r="BG67" s="17">
        <f>-IF(AND(V$58&gt;='CBA Inputs'!$P24,V$58&lt;='CBA Inputs'!$Q24),'CBA Inputs'!$O24/('CBA Inputs'!$Q24-'CBA Inputs'!$P24+1),0)*IF(V$58=0,0,1)*CapitalCost_ACTIVE*V$55*IF(Scenario_Select='CBA Inputs'!$T24,1,0)</f>
        <v>0</v>
      </c>
      <c r="BH67" s="17">
        <f>-IF(AND(W$58&gt;='CBA Inputs'!$P24,W$58&lt;='CBA Inputs'!$Q24),'CBA Inputs'!$O24/('CBA Inputs'!$Q24-'CBA Inputs'!$P24+1),0)*IF(W$58=0,0,1)*CapitalCost_ACTIVE*W$55*IF(Scenario_Select='CBA Inputs'!$T24,1,0)</f>
        <v>0</v>
      </c>
      <c r="BI67" s="17">
        <f>-IF(AND(X$58&gt;='CBA Inputs'!$P24,X$58&lt;='CBA Inputs'!$Q24),'CBA Inputs'!$O24/('CBA Inputs'!$Q24-'CBA Inputs'!$P24+1),0)*IF(X$58=0,0,1)*CapitalCost_ACTIVE*X$55*IF(Scenario_Select='CBA Inputs'!$T24,1,0)</f>
        <v>0</v>
      </c>
      <c r="BJ67" s="17">
        <f>-IF(AND(Y$58&gt;='CBA Inputs'!$P24,Y$58&lt;='CBA Inputs'!$Q24),'CBA Inputs'!$O24/('CBA Inputs'!$Q24-'CBA Inputs'!$P24+1),0)*IF(Y$58=0,0,1)*CapitalCost_ACTIVE*Y$55*IF(Scenario_Select='CBA Inputs'!$T24,1,0)</f>
        <v>0</v>
      </c>
      <c r="BK67" s="17">
        <f>-IF(AND(Z$58&gt;='CBA Inputs'!$P24,Z$58&lt;='CBA Inputs'!$Q24),'CBA Inputs'!$O24/('CBA Inputs'!$Q24-'CBA Inputs'!$P24+1),0)*IF(Z$58=0,0,1)*CapitalCost_ACTIVE*Z$55*IF(Scenario_Select='CBA Inputs'!$T24,1,0)</f>
        <v>0</v>
      </c>
      <c r="BL67" s="17">
        <f>-IF(AND(AA$58&gt;='CBA Inputs'!$P24,AA$58&lt;='CBA Inputs'!$Q24),'CBA Inputs'!$O24/('CBA Inputs'!$Q24-'CBA Inputs'!$P24+1),0)*IF(AA$58=0,0,1)*CapitalCost_ACTIVE*AA$55*IF(Scenario_Select='CBA Inputs'!$T24,1,0)</f>
        <v>0</v>
      </c>
      <c r="BM67" s="17">
        <f>-IF(AND(AB$58&gt;='CBA Inputs'!$P24,AB$58&lt;='CBA Inputs'!$Q24),'CBA Inputs'!$O24/('CBA Inputs'!$Q24-'CBA Inputs'!$P24+1),0)*IF(AB$58=0,0,1)*CapitalCost_ACTIVE*AB$55*IF(Scenario_Select='CBA Inputs'!$T24,1,0)</f>
        <v>0</v>
      </c>
      <c r="BN67" s="17">
        <f>-IF(AND(AC$58&gt;='CBA Inputs'!$P24,AC$58&lt;='CBA Inputs'!$Q24),'CBA Inputs'!$O24/('CBA Inputs'!$Q24-'CBA Inputs'!$P24+1),0)*IF(AC$58=0,0,1)*CapitalCost_ACTIVE*AC$55*IF(Scenario_Select='CBA Inputs'!$T24,1,0)</f>
        <v>0</v>
      </c>
      <c r="BO67" s="17">
        <f>-IF(AND(AD$58&gt;='CBA Inputs'!$P24,AD$58&lt;='CBA Inputs'!$Q24),'CBA Inputs'!$O24/('CBA Inputs'!$Q24-'CBA Inputs'!$P24+1),0)*IF(AD$58=0,0,1)*CapitalCost_ACTIVE*AD$55*IF(Scenario_Select='CBA Inputs'!$T24,1,0)</f>
        <v>0</v>
      </c>
      <c r="BP67" s="17">
        <f>-IF(AND(AE$58&gt;='CBA Inputs'!$P24,AE$58&lt;='CBA Inputs'!$Q24),'CBA Inputs'!$O24/('CBA Inputs'!$Q24-'CBA Inputs'!$P24+1),0)*IF(AE$58=0,0,1)*CapitalCost_ACTIVE*AE$55*IF(Scenario_Select='CBA Inputs'!$T24,1,0)</f>
        <v>0</v>
      </c>
      <c r="BQ67" s="17">
        <f>-IF(AND(AF$58&gt;='CBA Inputs'!$P24,AF$58&lt;='CBA Inputs'!$Q24),'CBA Inputs'!$O24/('CBA Inputs'!$Q24-'CBA Inputs'!$P24+1),0)*IF(AF$58=0,0,1)*CapitalCost_ACTIVE*AF$55*IF(Scenario_Select='CBA Inputs'!$T24,1,0)</f>
        <v>0</v>
      </c>
      <c r="BR67" s="17">
        <f>-IF(AND(AG$58&gt;='CBA Inputs'!$P24,AG$58&lt;='CBA Inputs'!$Q24),'CBA Inputs'!$O24/('CBA Inputs'!$Q24-'CBA Inputs'!$P24+1),0)*IF(AG$58=0,0,1)*CapitalCost_ACTIVE*AG$55*IF(Scenario_Select='CBA Inputs'!$T24,1,0)</f>
        <v>0</v>
      </c>
      <c r="BS67" s="17">
        <f>-IF(AND(AH$58&gt;='CBA Inputs'!$P24,AH$58&lt;='CBA Inputs'!$Q24),'CBA Inputs'!$O24/('CBA Inputs'!$Q24-'CBA Inputs'!$P24+1),0)*IF(AH$58=0,0,1)*CapitalCost_ACTIVE*AH$55*IF(Scenario_Select='CBA Inputs'!$T24,1,0)</f>
        <v>0</v>
      </c>
      <c r="BT67" s="17">
        <f>-IF(AND(AI$58&gt;='CBA Inputs'!$P24,AI$58&lt;='CBA Inputs'!$Q24),'CBA Inputs'!$O24/('CBA Inputs'!$Q24-'CBA Inputs'!$P24+1),0)*IF(AI$58=0,0,1)*CapitalCost_ACTIVE*AI$55*IF(Scenario_Select='CBA Inputs'!$T24,1,0)</f>
        <v>0</v>
      </c>
      <c r="BU67" s="17">
        <f>-IF(AND(AJ$58&gt;='CBA Inputs'!$P24,AJ$58&lt;='CBA Inputs'!$Q24),'CBA Inputs'!$O24/('CBA Inputs'!$Q24-'CBA Inputs'!$P24+1),0)*IF(AJ$58=0,0,1)*CapitalCost_ACTIVE*AJ$55*IF(Scenario_Select='CBA Inputs'!$T24,1,0)</f>
        <v>0</v>
      </c>
      <c r="BV67" s="178">
        <f>IFERROR(PMT(DiscountRate_ACTIVE,'CBA Inputs'!S24,'CBA Inputs'!O24),0)*IF(Scenario_Select='CBA Inputs'!$T24,1,0)</f>
        <v>-13650158.930395028</v>
      </c>
    </row>
    <row r="68" spans="1:74" x14ac:dyDescent="0.35">
      <c r="A68" s="134"/>
      <c r="B68" s="24">
        <f>+'CBA Inputs'!B25</f>
        <v>3</v>
      </c>
      <c r="C68" s="25" t="str">
        <f>+'CBA Inputs'!C25</f>
        <v>Option 1C</v>
      </c>
      <c r="D68" s="25" t="str">
        <f>'CBA Inputs'!D25</f>
        <v>Substation</v>
      </c>
      <c r="E68" s="12" t="s">
        <v>35</v>
      </c>
      <c r="F68" s="18">
        <f t="shared" si="28"/>
        <v>-186676702.73527467</v>
      </c>
      <c r="G68" s="17">
        <f>-IF(AND(G$58&gt;='CBA Inputs'!$F25,G$58&lt;='CBA Inputs'!$G25),'CBA Inputs'!$E25/('CBA Inputs'!$G25-'CBA Inputs'!$F25+1),0)*IF(G$58=0,0,1)*CapitalCost_ACTIVE*G$55</f>
        <v>0</v>
      </c>
      <c r="H68" s="17">
        <f>-IF(AND(H$58&gt;='CBA Inputs'!$F25,H$58&lt;='CBA Inputs'!$G25),'CBA Inputs'!$E25/('CBA Inputs'!$G25-'CBA Inputs'!$F25+1),0)*IF(H$58=0,0,1)*CapitalCost_ACTIVE*H$55</f>
        <v>-53750000</v>
      </c>
      <c r="I68" s="17">
        <f>-IF(AND(I$58&gt;='CBA Inputs'!$F25,I$58&lt;='CBA Inputs'!$G25),'CBA Inputs'!$E25/('CBA Inputs'!$G25-'CBA Inputs'!$F25+1),0)*IF(I$58=0,0,1)*CapitalCost_ACTIVE*I$55</f>
        <v>-53750000</v>
      </c>
      <c r="J68" s="17">
        <f>-IF(AND(J$58&gt;='CBA Inputs'!$F25,J$58&lt;='CBA Inputs'!$G25),'CBA Inputs'!$E25/('CBA Inputs'!$G25-'CBA Inputs'!$F25+1),0)*IF(J$58=0,0,1)*CapitalCost_ACTIVE*J$55</f>
        <v>-53750000</v>
      </c>
      <c r="K68" s="17">
        <f>-IF(AND(K$58&gt;='CBA Inputs'!$F25,K$58&lt;='CBA Inputs'!$G25),'CBA Inputs'!$E25/('CBA Inputs'!$G25-'CBA Inputs'!$F25+1),0)*IF(K$58=0,0,1)*CapitalCost_ACTIVE*K$55</f>
        <v>-53750000</v>
      </c>
      <c r="L68" s="17">
        <f>-IF(AND(L$58&gt;='CBA Inputs'!$F25,L$58&lt;='CBA Inputs'!$G25),'CBA Inputs'!$E25/('CBA Inputs'!$G25-'CBA Inputs'!$F25+1),0)*IF(L$58=0,0,1)*CapitalCost_ACTIVE*L$55</f>
        <v>0</v>
      </c>
      <c r="M68" s="17">
        <f>-IF(AND(M$58&gt;='CBA Inputs'!$F25,M$58&lt;='CBA Inputs'!$G25),'CBA Inputs'!$E25/('CBA Inputs'!$G25-'CBA Inputs'!$F25+1),0)*IF(M$58=0,0,1)*CapitalCost_ACTIVE*M$55</f>
        <v>0</v>
      </c>
      <c r="N68" s="17">
        <f>-IF(AND(N$58&gt;='CBA Inputs'!$F25,N$58&lt;='CBA Inputs'!$G25),'CBA Inputs'!$E25/('CBA Inputs'!$G25-'CBA Inputs'!$F25+1),0)*IF(N$58=0,0,1)*CapitalCost_ACTIVE*N$55</f>
        <v>0</v>
      </c>
      <c r="O68" s="17">
        <f>-IF(AND(O$58&gt;='CBA Inputs'!$F25,O$58&lt;='CBA Inputs'!$G25),'CBA Inputs'!$E25/('CBA Inputs'!$G25-'CBA Inputs'!$F25+1),0)*IF(O$58=0,0,1)*CapitalCost_ACTIVE*O$55</f>
        <v>0</v>
      </c>
      <c r="P68" s="17">
        <f>-IF(AND(P$58&gt;='CBA Inputs'!$F25,P$58&lt;='CBA Inputs'!$G25),'CBA Inputs'!$E25/('CBA Inputs'!$G25-'CBA Inputs'!$F25+1),0)*IF(P$58=0,0,1)*CapitalCost_ACTIVE*P$55</f>
        <v>0</v>
      </c>
      <c r="Q68" s="17">
        <f>-IF(AND(Q$58&gt;='CBA Inputs'!$F25,Q$58&lt;='CBA Inputs'!$G25),'CBA Inputs'!$E25/('CBA Inputs'!$G25-'CBA Inputs'!$F25+1),0)*IF(Q$58=0,0,1)*CapitalCost_ACTIVE*Q$55</f>
        <v>0</v>
      </c>
      <c r="R68" s="17">
        <f>-IF(AND(R$58&gt;='CBA Inputs'!$F25,R$58&lt;='CBA Inputs'!$G25),'CBA Inputs'!$E25/('CBA Inputs'!$G25-'CBA Inputs'!$F25+1),0)*IF(R$58=0,0,1)*CapitalCost_ACTIVE*R$55</f>
        <v>0</v>
      </c>
      <c r="S68" s="17">
        <f>-IF(AND(S$58&gt;='CBA Inputs'!$F25,S$58&lt;='CBA Inputs'!$G25),'CBA Inputs'!$E25/('CBA Inputs'!$G25-'CBA Inputs'!$F25+1),0)*IF(S$58=0,0,1)*CapitalCost_ACTIVE*S$55</f>
        <v>0</v>
      </c>
      <c r="T68" s="17">
        <f>-IF(AND(T$58&gt;='CBA Inputs'!$F25,T$58&lt;='CBA Inputs'!$G25),'CBA Inputs'!$E25/('CBA Inputs'!$G25-'CBA Inputs'!$F25+1),0)*IF(T$58=0,0,1)*CapitalCost_ACTIVE*T$55</f>
        <v>0</v>
      </c>
      <c r="U68" s="17">
        <f>-IF(AND(U$58&gt;='CBA Inputs'!$F25,U$58&lt;='CBA Inputs'!$G25),'CBA Inputs'!$E25/('CBA Inputs'!$G25-'CBA Inputs'!$F25+1),0)*IF(U$58=0,0,1)*CapitalCost_ACTIVE*U$55</f>
        <v>0</v>
      </c>
      <c r="V68" s="17">
        <f>-IF(AND(V$58&gt;='CBA Inputs'!$F25,V$58&lt;='CBA Inputs'!$G25),'CBA Inputs'!$E25/('CBA Inputs'!$G25-'CBA Inputs'!$F25+1),0)*IF(V$58=0,0,1)*CapitalCost_ACTIVE*V$55</f>
        <v>0</v>
      </c>
      <c r="W68" s="17">
        <f>-IF(AND(W$58&gt;='CBA Inputs'!$F25,W$58&lt;='CBA Inputs'!$G25),'CBA Inputs'!$E25/('CBA Inputs'!$G25-'CBA Inputs'!$F25+1),0)*IF(W$58=0,0,1)*CapitalCost_ACTIVE*W$55</f>
        <v>0</v>
      </c>
      <c r="X68" s="17">
        <f>-IF(AND(X$58&gt;='CBA Inputs'!$F25,X$58&lt;='CBA Inputs'!$G25),'CBA Inputs'!$E25/('CBA Inputs'!$G25-'CBA Inputs'!$F25+1),0)*IF(X$58=0,0,1)*CapitalCost_ACTIVE*X$55</f>
        <v>0</v>
      </c>
      <c r="Y68" s="17">
        <f>-IF(AND(Y$58&gt;='CBA Inputs'!$F25,Y$58&lt;='CBA Inputs'!$G25),'CBA Inputs'!$E25/('CBA Inputs'!$G25-'CBA Inputs'!$F25+1),0)*IF(Y$58=0,0,1)*CapitalCost_ACTIVE*Y$55</f>
        <v>0</v>
      </c>
      <c r="Z68" s="17">
        <f>-IF(AND(Z$58&gt;='CBA Inputs'!$F25,Z$58&lt;='CBA Inputs'!$G25),'CBA Inputs'!$E25/('CBA Inputs'!$G25-'CBA Inputs'!$F25+1),0)*IF(Z$58=0,0,1)*CapitalCost_ACTIVE*Z$55</f>
        <v>0</v>
      </c>
      <c r="AA68" s="17">
        <f>-IF(AND(AA$58&gt;='CBA Inputs'!$F25,AA$58&lt;='CBA Inputs'!$G25),'CBA Inputs'!$E25/('CBA Inputs'!$G25-'CBA Inputs'!$F25+1),0)*IF(AA$58=0,0,1)*CapitalCost_ACTIVE*AA$55</f>
        <v>0</v>
      </c>
      <c r="AB68" s="17">
        <f>-IF(AND(AB$58&gt;='CBA Inputs'!$F25,AB$58&lt;='CBA Inputs'!$G25),'CBA Inputs'!$E25/('CBA Inputs'!$G25-'CBA Inputs'!$F25+1),0)*IF(AB$58=0,0,1)*CapitalCost_ACTIVE*AB$55</f>
        <v>0</v>
      </c>
      <c r="AC68" s="17">
        <f>-IF(AND(AC$58&gt;='CBA Inputs'!$F25,AC$58&lt;='CBA Inputs'!$G25),'CBA Inputs'!$E25/('CBA Inputs'!$G25-'CBA Inputs'!$F25+1),0)*IF(AC$58=0,0,1)*CapitalCost_ACTIVE*AC$55</f>
        <v>0</v>
      </c>
      <c r="AD68" s="17">
        <f>-IF(AND(AD$58&gt;='CBA Inputs'!$F25,AD$58&lt;='CBA Inputs'!$G25),'CBA Inputs'!$E25/('CBA Inputs'!$G25-'CBA Inputs'!$F25+1),0)*IF(AD$58=0,0,1)*CapitalCost_ACTIVE*AD$55</f>
        <v>0</v>
      </c>
      <c r="AE68" s="17">
        <f>-IF(AND(AE$58&gt;='CBA Inputs'!$F25,AE$58&lt;='CBA Inputs'!$G25),'CBA Inputs'!$E25/('CBA Inputs'!$G25-'CBA Inputs'!$F25+1),0)*IF(AE$58=0,0,1)*CapitalCost_ACTIVE*AE$55</f>
        <v>0</v>
      </c>
      <c r="AF68" s="17">
        <f>-IF(AND(AF$58&gt;='CBA Inputs'!$F25,AF$58&lt;='CBA Inputs'!$G25),'CBA Inputs'!$E25/('CBA Inputs'!$G25-'CBA Inputs'!$F25+1),0)*IF(AF$58=0,0,1)*CapitalCost_ACTIVE*AF$55</f>
        <v>0</v>
      </c>
      <c r="AG68" s="17">
        <f>-IF(AND(AG$58&gt;='CBA Inputs'!$F25,AG$58&lt;='CBA Inputs'!$G25),'CBA Inputs'!$E25/('CBA Inputs'!$G25-'CBA Inputs'!$F25+1),0)*IF(AG$58=0,0,1)*CapitalCost_ACTIVE*AG$55</f>
        <v>0</v>
      </c>
      <c r="AH68" s="17">
        <f>-IF(AND(AH$58&gt;='CBA Inputs'!$F25,AH$58&lt;='CBA Inputs'!$G25),'CBA Inputs'!$E25/('CBA Inputs'!$G25-'CBA Inputs'!$F25+1),0)*IF(AH$58=0,0,1)*CapitalCost_ACTIVE*AH$55</f>
        <v>0</v>
      </c>
      <c r="AI68" s="17">
        <f>-IF(AND(AI$58&gt;='CBA Inputs'!$F25,AI$58&lt;='CBA Inputs'!$G25),'CBA Inputs'!$E25/('CBA Inputs'!$G25-'CBA Inputs'!$F25+1),0)*IF(AI$58=0,0,1)*CapitalCost_ACTIVE*AI$55</f>
        <v>0</v>
      </c>
      <c r="AJ68" s="17">
        <f>-IF(AND(AJ$58&gt;='CBA Inputs'!$F25,AJ$58&lt;='CBA Inputs'!$G25),'CBA Inputs'!$E25/('CBA Inputs'!$G25-'CBA Inputs'!$F25+1),0)*IF(AJ$58=0,0,1)*CapitalCost_ACTIVE*AJ$55</f>
        <v>0</v>
      </c>
      <c r="AK68" s="178">
        <f>IFERROR(PMT(DiscountRate_ACTIVE,'CBA Inputs'!I25,'CBA Inputs'!E25),0)</f>
        <v>-14109539.279014088</v>
      </c>
      <c r="AM68" s="24">
        <f>'CBA Inputs'!L25</f>
        <v>5</v>
      </c>
      <c r="AN68" s="24" t="str">
        <f>'CBA Inputs'!M25</f>
        <v>Option 2B</v>
      </c>
      <c r="AO68" s="24" t="str">
        <f>'CBA Inputs'!N25</f>
        <v>Substation</v>
      </c>
      <c r="AP68" s="12" t="s">
        <v>35</v>
      </c>
      <c r="AQ68" s="18">
        <f t="shared" si="29"/>
        <v>0</v>
      </c>
      <c r="AR68" s="17">
        <f>-IF(AND(G$58&gt;='CBA Inputs'!$P25,G$58&lt;='CBA Inputs'!$Q25),'CBA Inputs'!$O25/('CBA Inputs'!$Q25-'CBA Inputs'!$P25+1),0)*IF(G$58=0,0,1)*CapitalCost_ACTIVE*G$55*IF(Scenario_Select='CBA Inputs'!$T25,1,0)</f>
        <v>0</v>
      </c>
      <c r="AS68" s="17">
        <f>-IF(AND(H$58&gt;='CBA Inputs'!$P25,H$58&lt;='CBA Inputs'!$Q25),'CBA Inputs'!$O25/('CBA Inputs'!$Q25-'CBA Inputs'!$P25+1),0)*IF(H$58=0,0,1)*CapitalCost_ACTIVE*H$55*IF(Scenario_Select='CBA Inputs'!$T25,1,0)</f>
        <v>0</v>
      </c>
      <c r="AT68" s="17">
        <f>-IF(AND(I$58&gt;='CBA Inputs'!$P25,I$58&lt;='CBA Inputs'!$Q25),'CBA Inputs'!$O25/('CBA Inputs'!$Q25-'CBA Inputs'!$P25+1),0)*IF(I$58=0,0,1)*CapitalCost_ACTIVE*I$55*IF(Scenario_Select='CBA Inputs'!$T25,1,0)</f>
        <v>0</v>
      </c>
      <c r="AU68" s="17">
        <f>-IF(AND(J$58&gt;='CBA Inputs'!$P25,J$58&lt;='CBA Inputs'!$Q25),'CBA Inputs'!$O25/('CBA Inputs'!$Q25-'CBA Inputs'!$P25+1),0)*IF(J$58=0,0,1)*CapitalCost_ACTIVE*J$55*IF(Scenario_Select='CBA Inputs'!$T25,1,0)</f>
        <v>0</v>
      </c>
      <c r="AV68" s="17">
        <f>-IF(AND(K$58&gt;='CBA Inputs'!$P25,K$58&lt;='CBA Inputs'!$Q25),'CBA Inputs'!$O25/('CBA Inputs'!$Q25-'CBA Inputs'!$P25+1),0)*IF(K$58=0,0,1)*CapitalCost_ACTIVE*K$55*IF(Scenario_Select='CBA Inputs'!$T25,1,0)</f>
        <v>0</v>
      </c>
      <c r="AW68" s="17">
        <f>-IF(AND(L$58&gt;='CBA Inputs'!$P25,L$58&lt;='CBA Inputs'!$Q25),'CBA Inputs'!$O25/('CBA Inputs'!$Q25-'CBA Inputs'!$P25+1),0)*IF(L$58=0,0,1)*CapitalCost_ACTIVE*L$55*IF(Scenario_Select='CBA Inputs'!$T25,1,0)</f>
        <v>0</v>
      </c>
      <c r="AX68" s="17">
        <f>-IF(AND(M$58&gt;='CBA Inputs'!$P25,M$58&lt;='CBA Inputs'!$Q25),'CBA Inputs'!$O25/('CBA Inputs'!$Q25-'CBA Inputs'!$P25+1),0)*IF(M$58=0,0,1)*CapitalCost_ACTIVE*M$55*IF(Scenario_Select='CBA Inputs'!$T25,1,0)</f>
        <v>0</v>
      </c>
      <c r="AY68" s="17">
        <f>-IF(AND(N$58&gt;='CBA Inputs'!$P25,N$58&lt;='CBA Inputs'!$Q25),'CBA Inputs'!$O25/('CBA Inputs'!$Q25-'CBA Inputs'!$P25+1),0)*IF(N$58=0,0,1)*CapitalCost_ACTIVE*N$55*IF(Scenario_Select='CBA Inputs'!$T25,1,0)</f>
        <v>0</v>
      </c>
      <c r="AZ68" s="17">
        <f>-IF(AND(O$58&gt;='CBA Inputs'!$P25,O$58&lt;='CBA Inputs'!$Q25),'CBA Inputs'!$O25/('CBA Inputs'!$Q25-'CBA Inputs'!$P25+1),0)*IF(O$58=0,0,1)*CapitalCost_ACTIVE*O$55*IF(Scenario_Select='CBA Inputs'!$T25,1,0)</f>
        <v>0</v>
      </c>
      <c r="BA68" s="17">
        <f>-IF(AND(P$58&gt;='CBA Inputs'!$P25,P$58&lt;='CBA Inputs'!$Q25),'CBA Inputs'!$O25/('CBA Inputs'!$Q25-'CBA Inputs'!$P25+1),0)*IF(P$58=0,0,1)*CapitalCost_ACTIVE*P$55*IF(Scenario_Select='CBA Inputs'!$T25,1,0)</f>
        <v>0</v>
      </c>
      <c r="BB68" s="17">
        <f>-IF(AND(Q$58&gt;='CBA Inputs'!$P25,Q$58&lt;='CBA Inputs'!$Q25),'CBA Inputs'!$O25/('CBA Inputs'!$Q25-'CBA Inputs'!$P25+1),0)*IF(Q$58=0,0,1)*CapitalCost_ACTIVE*Q$55*IF(Scenario_Select='CBA Inputs'!$T25,1,0)</f>
        <v>0</v>
      </c>
      <c r="BC68" s="17">
        <f>-IF(AND(R$58&gt;='CBA Inputs'!$P25,R$58&lt;='CBA Inputs'!$Q25),'CBA Inputs'!$O25/('CBA Inputs'!$Q25-'CBA Inputs'!$P25+1),0)*IF(R$58=0,0,1)*CapitalCost_ACTIVE*R$55*IF(Scenario_Select='CBA Inputs'!$T25,1,0)</f>
        <v>0</v>
      </c>
      <c r="BD68" s="17">
        <f>-IF(AND(S$58&gt;='CBA Inputs'!$P25,S$58&lt;='CBA Inputs'!$Q25),'CBA Inputs'!$O25/('CBA Inputs'!$Q25-'CBA Inputs'!$P25+1),0)*IF(S$58=0,0,1)*CapitalCost_ACTIVE*S$55*IF(Scenario_Select='CBA Inputs'!$T25,1,0)</f>
        <v>0</v>
      </c>
      <c r="BE68" s="17">
        <f>-IF(AND(T$58&gt;='CBA Inputs'!$P25,T$58&lt;='CBA Inputs'!$Q25),'CBA Inputs'!$O25/('CBA Inputs'!$Q25-'CBA Inputs'!$P25+1),0)*IF(T$58=0,0,1)*CapitalCost_ACTIVE*T$55*IF(Scenario_Select='CBA Inputs'!$T25,1,0)</f>
        <v>0</v>
      </c>
      <c r="BF68" s="17">
        <f>-IF(AND(U$58&gt;='CBA Inputs'!$P25,U$58&lt;='CBA Inputs'!$Q25),'CBA Inputs'!$O25/('CBA Inputs'!$Q25-'CBA Inputs'!$P25+1),0)*IF(U$58=0,0,1)*CapitalCost_ACTIVE*U$55*IF(Scenario_Select='CBA Inputs'!$T25,1,0)</f>
        <v>0</v>
      </c>
      <c r="BG68" s="17">
        <f>-IF(AND(V$58&gt;='CBA Inputs'!$P25,V$58&lt;='CBA Inputs'!$Q25),'CBA Inputs'!$O25/('CBA Inputs'!$Q25-'CBA Inputs'!$P25+1),0)*IF(V$58=0,0,1)*CapitalCost_ACTIVE*V$55*IF(Scenario_Select='CBA Inputs'!$T25,1,0)</f>
        <v>0</v>
      </c>
      <c r="BH68" s="17">
        <f>-IF(AND(W$58&gt;='CBA Inputs'!$P25,W$58&lt;='CBA Inputs'!$Q25),'CBA Inputs'!$O25/('CBA Inputs'!$Q25-'CBA Inputs'!$P25+1),0)*IF(W$58=0,0,1)*CapitalCost_ACTIVE*W$55*IF(Scenario_Select='CBA Inputs'!$T25,1,0)</f>
        <v>0</v>
      </c>
      <c r="BI68" s="17">
        <f>-IF(AND(X$58&gt;='CBA Inputs'!$P25,X$58&lt;='CBA Inputs'!$Q25),'CBA Inputs'!$O25/('CBA Inputs'!$Q25-'CBA Inputs'!$P25+1),0)*IF(X$58=0,0,1)*CapitalCost_ACTIVE*X$55*IF(Scenario_Select='CBA Inputs'!$T25,1,0)</f>
        <v>0</v>
      </c>
      <c r="BJ68" s="17">
        <f>-IF(AND(Y$58&gt;='CBA Inputs'!$P25,Y$58&lt;='CBA Inputs'!$Q25),'CBA Inputs'!$O25/('CBA Inputs'!$Q25-'CBA Inputs'!$P25+1),0)*IF(Y$58=0,0,1)*CapitalCost_ACTIVE*Y$55*IF(Scenario_Select='CBA Inputs'!$T25,1,0)</f>
        <v>0</v>
      </c>
      <c r="BK68" s="17">
        <f>-IF(AND(Z$58&gt;='CBA Inputs'!$P25,Z$58&lt;='CBA Inputs'!$Q25),'CBA Inputs'!$O25/('CBA Inputs'!$Q25-'CBA Inputs'!$P25+1),0)*IF(Z$58=0,0,1)*CapitalCost_ACTIVE*Z$55*IF(Scenario_Select='CBA Inputs'!$T25,1,0)</f>
        <v>0</v>
      </c>
      <c r="BL68" s="17">
        <f>-IF(AND(AA$58&gt;='CBA Inputs'!$P25,AA$58&lt;='CBA Inputs'!$Q25),'CBA Inputs'!$O25/('CBA Inputs'!$Q25-'CBA Inputs'!$P25+1),0)*IF(AA$58=0,0,1)*CapitalCost_ACTIVE*AA$55*IF(Scenario_Select='CBA Inputs'!$T25,1,0)</f>
        <v>0</v>
      </c>
      <c r="BM68" s="17">
        <f>-IF(AND(AB$58&gt;='CBA Inputs'!$P25,AB$58&lt;='CBA Inputs'!$Q25),'CBA Inputs'!$O25/('CBA Inputs'!$Q25-'CBA Inputs'!$P25+1),0)*IF(AB$58=0,0,1)*CapitalCost_ACTIVE*AB$55*IF(Scenario_Select='CBA Inputs'!$T25,1,0)</f>
        <v>0</v>
      </c>
      <c r="BN68" s="17">
        <f>-IF(AND(AC$58&gt;='CBA Inputs'!$P25,AC$58&lt;='CBA Inputs'!$Q25),'CBA Inputs'!$O25/('CBA Inputs'!$Q25-'CBA Inputs'!$P25+1),0)*IF(AC$58=0,0,1)*CapitalCost_ACTIVE*AC$55*IF(Scenario_Select='CBA Inputs'!$T25,1,0)</f>
        <v>0</v>
      </c>
      <c r="BO68" s="17">
        <f>-IF(AND(AD$58&gt;='CBA Inputs'!$P25,AD$58&lt;='CBA Inputs'!$Q25),'CBA Inputs'!$O25/('CBA Inputs'!$Q25-'CBA Inputs'!$P25+1),0)*IF(AD$58=0,0,1)*CapitalCost_ACTIVE*AD$55*IF(Scenario_Select='CBA Inputs'!$T25,1,0)</f>
        <v>0</v>
      </c>
      <c r="BP68" s="17">
        <f>-IF(AND(AE$58&gt;='CBA Inputs'!$P25,AE$58&lt;='CBA Inputs'!$Q25),'CBA Inputs'!$O25/('CBA Inputs'!$Q25-'CBA Inputs'!$P25+1),0)*IF(AE$58=0,0,1)*CapitalCost_ACTIVE*AE$55*IF(Scenario_Select='CBA Inputs'!$T25,1,0)</f>
        <v>0</v>
      </c>
      <c r="BQ68" s="17">
        <f>-IF(AND(AF$58&gt;='CBA Inputs'!$P25,AF$58&lt;='CBA Inputs'!$Q25),'CBA Inputs'!$O25/('CBA Inputs'!$Q25-'CBA Inputs'!$P25+1),0)*IF(AF$58=0,0,1)*CapitalCost_ACTIVE*AF$55*IF(Scenario_Select='CBA Inputs'!$T25,1,0)</f>
        <v>0</v>
      </c>
      <c r="BR68" s="17">
        <f>-IF(AND(AG$58&gt;='CBA Inputs'!$P25,AG$58&lt;='CBA Inputs'!$Q25),'CBA Inputs'!$O25/('CBA Inputs'!$Q25-'CBA Inputs'!$P25+1),0)*IF(AG$58=0,0,1)*CapitalCost_ACTIVE*AG$55*IF(Scenario_Select='CBA Inputs'!$T25,1,0)</f>
        <v>0</v>
      </c>
      <c r="BS68" s="17">
        <f>-IF(AND(AH$58&gt;='CBA Inputs'!$P25,AH$58&lt;='CBA Inputs'!$Q25),'CBA Inputs'!$O25/('CBA Inputs'!$Q25-'CBA Inputs'!$P25+1),0)*IF(AH$58=0,0,1)*CapitalCost_ACTIVE*AH$55*IF(Scenario_Select='CBA Inputs'!$T25,1,0)</f>
        <v>0</v>
      </c>
      <c r="BT68" s="17">
        <f>-IF(AND(AI$58&gt;='CBA Inputs'!$P25,AI$58&lt;='CBA Inputs'!$Q25),'CBA Inputs'!$O25/('CBA Inputs'!$Q25-'CBA Inputs'!$P25+1),0)*IF(AI$58=0,0,1)*CapitalCost_ACTIVE*AI$55*IF(Scenario_Select='CBA Inputs'!$T25,1,0)</f>
        <v>0</v>
      </c>
      <c r="BU68" s="17">
        <f>-IF(AND(AJ$58&gt;='CBA Inputs'!$P25,AJ$58&lt;='CBA Inputs'!$Q25),'CBA Inputs'!$O25/('CBA Inputs'!$Q25-'CBA Inputs'!$P25+1),0)*IF(AJ$58=0,0,1)*CapitalCost_ACTIVE*AJ$55*IF(Scenario_Select='CBA Inputs'!$T25,1,0)</f>
        <v>0</v>
      </c>
      <c r="BV68" s="178">
        <f>IFERROR(PMT(DiscountRate_ACTIVE,'CBA Inputs'!S25,'CBA Inputs'!O25),0)*IF(Scenario_Select='CBA Inputs'!$T25,1,0)</f>
        <v>0</v>
      </c>
    </row>
    <row r="69" spans="1:74" x14ac:dyDescent="0.35">
      <c r="A69" s="134"/>
      <c r="B69" s="24">
        <f>+'CBA Inputs'!B26</f>
        <v>4</v>
      </c>
      <c r="C69" s="25" t="str">
        <f>+'CBA Inputs'!C26</f>
        <v>Option 2A</v>
      </c>
      <c r="D69" s="25" t="str">
        <f>'CBA Inputs'!D26</f>
        <v>Lines</v>
      </c>
      <c r="E69" s="12" t="s">
        <v>35</v>
      </c>
      <c r="F69" s="18">
        <f t="shared" si="28"/>
        <v>-765808613.08145237</v>
      </c>
      <c r="G69" s="17">
        <f>-IF(AND(G$58&gt;='CBA Inputs'!$F26,G$58&lt;='CBA Inputs'!$G26),'CBA Inputs'!$E26/('CBA Inputs'!$G26-'CBA Inputs'!$F26+1),0)*IF(G$58=0,0,1)*CapitalCost_ACTIVE*G$55</f>
        <v>0</v>
      </c>
      <c r="H69" s="17">
        <f>-IF(AND(H$58&gt;='CBA Inputs'!$F26,H$58&lt;='CBA Inputs'!$G26),'CBA Inputs'!$E26/('CBA Inputs'!$G26-'CBA Inputs'!$F26+1),0)*IF(H$58=0,0,1)*CapitalCost_ACTIVE*H$55</f>
        <v>-220500000</v>
      </c>
      <c r="I69" s="17">
        <f>-IF(AND(I$58&gt;='CBA Inputs'!$F26,I$58&lt;='CBA Inputs'!$G26),'CBA Inputs'!$E26/('CBA Inputs'!$G26-'CBA Inputs'!$F26+1),0)*IF(I$58=0,0,1)*CapitalCost_ACTIVE*I$55</f>
        <v>-220500000</v>
      </c>
      <c r="J69" s="17">
        <f>-IF(AND(J$58&gt;='CBA Inputs'!$F26,J$58&lt;='CBA Inputs'!$G26),'CBA Inputs'!$E26/('CBA Inputs'!$G26-'CBA Inputs'!$F26+1),0)*IF(J$58=0,0,1)*CapitalCost_ACTIVE*J$55</f>
        <v>-220500000</v>
      </c>
      <c r="K69" s="17">
        <f>-IF(AND(K$58&gt;='CBA Inputs'!$F26,K$58&lt;='CBA Inputs'!$G26),'CBA Inputs'!$E26/('CBA Inputs'!$G26-'CBA Inputs'!$F26+1),0)*IF(K$58=0,0,1)*CapitalCost_ACTIVE*K$55</f>
        <v>-220500000</v>
      </c>
      <c r="L69" s="17">
        <f>-IF(AND(L$58&gt;='CBA Inputs'!$F26,L$58&lt;='CBA Inputs'!$G26),'CBA Inputs'!$E26/('CBA Inputs'!$G26-'CBA Inputs'!$F26+1),0)*IF(L$58=0,0,1)*CapitalCost_ACTIVE*L$55</f>
        <v>0</v>
      </c>
      <c r="M69" s="17">
        <f>-IF(AND(M$58&gt;='CBA Inputs'!$F26,M$58&lt;='CBA Inputs'!$G26),'CBA Inputs'!$E26/('CBA Inputs'!$G26-'CBA Inputs'!$F26+1),0)*IF(M$58=0,0,1)*CapitalCost_ACTIVE*M$55</f>
        <v>0</v>
      </c>
      <c r="N69" s="17">
        <f>-IF(AND(N$58&gt;='CBA Inputs'!$F26,N$58&lt;='CBA Inputs'!$G26),'CBA Inputs'!$E26/('CBA Inputs'!$G26-'CBA Inputs'!$F26+1),0)*IF(N$58=0,0,1)*CapitalCost_ACTIVE*N$55</f>
        <v>0</v>
      </c>
      <c r="O69" s="17">
        <f>-IF(AND(O$58&gt;='CBA Inputs'!$F26,O$58&lt;='CBA Inputs'!$G26),'CBA Inputs'!$E26/('CBA Inputs'!$G26-'CBA Inputs'!$F26+1),0)*IF(O$58=0,0,1)*CapitalCost_ACTIVE*O$55</f>
        <v>0</v>
      </c>
      <c r="P69" s="17">
        <f>-IF(AND(P$58&gt;='CBA Inputs'!$F26,P$58&lt;='CBA Inputs'!$G26),'CBA Inputs'!$E26/('CBA Inputs'!$G26-'CBA Inputs'!$F26+1),0)*IF(P$58=0,0,1)*CapitalCost_ACTIVE*P$55</f>
        <v>0</v>
      </c>
      <c r="Q69" s="17">
        <f>-IF(AND(Q$58&gt;='CBA Inputs'!$F26,Q$58&lt;='CBA Inputs'!$G26),'CBA Inputs'!$E26/('CBA Inputs'!$G26-'CBA Inputs'!$F26+1),0)*IF(Q$58=0,0,1)*CapitalCost_ACTIVE*Q$55</f>
        <v>0</v>
      </c>
      <c r="R69" s="17">
        <f>-IF(AND(R$58&gt;='CBA Inputs'!$F26,R$58&lt;='CBA Inputs'!$G26),'CBA Inputs'!$E26/('CBA Inputs'!$G26-'CBA Inputs'!$F26+1),0)*IF(R$58=0,0,1)*CapitalCost_ACTIVE*R$55</f>
        <v>0</v>
      </c>
      <c r="S69" s="17">
        <f>-IF(AND(S$58&gt;='CBA Inputs'!$F26,S$58&lt;='CBA Inputs'!$G26),'CBA Inputs'!$E26/('CBA Inputs'!$G26-'CBA Inputs'!$F26+1),0)*IF(S$58=0,0,1)*CapitalCost_ACTIVE*S$55</f>
        <v>0</v>
      </c>
      <c r="T69" s="17">
        <f>-IF(AND(T$58&gt;='CBA Inputs'!$F26,T$58&lt;='CBA Inputs'!$G26),'CBA Inputs'!$E26/('CBA Inputs'!$G26-'CBA Inputs'!$F26+1),0)*IF(T$58=0,0,1)*CapitalCost_ACTIVE*T$55</f>
        <v>0</v>
      </c>
      <c r="U69" s="17">
        <f>-IF(AND(U$58&gt;='CBA Inputs'!$F26,U$58&lt;='CBA Inputs'!$G26),'CBA Inputs'!$E26/('CBA Inputs'!$G26-'CBA Inputs'!$F26+1),0)*IF(U$58=0,0,1)*CapitalCost_ACTIVE*U$55</f>
        <v>0</v>
      </c>
      <c r="V69" s="17">
        <f>-IF(AND(V$58&gt;='CBA Inputs'!$F26,V$58&lt;='CBA Inputs'!$G26),'CBA Inputs'!$E26/('CBA Inputs'!$G26-'CBA Inputs'!$F26+1),0)*IF(V$58=0,0,1)*CapitalCost_ACTIVE*V$55</f>
        <v>0</v>
      </c>
      <c r="W69" s="17">
        <f>-IF(AND(W$58&gt;='CBA Inputs'!$F26,W$58&lt;='CBA Inputs'!$G26),'CBA Inputs'!$E26/('CBA Inputs'!$G26-'CBA Inputs'!$F26+1),0)*IF(W$58=0,0,1)*CapitalCost_ACTIVE*W$55</f>
        <v>0</v>
      </c>
      <c r="X69" s="17">
        <f>-IF(AND(X$58&gt;='CBA Inputs'!$F26,X$58&lt;='CBA Inputs'!$G26),'CBA Inputs'!$E26/('CBA Inputs'!$G26-'CBA Inputs'!$F26+1),0)*IF(X$58=0,0,1)*CapitalCost_ACTIVE*X$55</f>
        <v>0</v>
      </c>
      <c r="Y69" s="17">
        <f>-IF(AND(Y$58&gt;='CBA Inputs'!$F26,Y$58&lt;='CBA Inputs'!$G26),'CBA Inputs'!$E26/('CBA Inputs'!$G26-'CBA Inputs'!$F26+1),0)*IF(Y$58=0,0,1)*CapitalCost_ACTIVE*Y$55</f>
        <v>0</v>
      </c>
      <c r="Z69" s="17">
        <f>-IF(AND(Z$58&gt;='CBA Inputs'!$F26,Z$58&lt;='CBA Inputs'!$G26),'CBA Inputs'!$E26/('CBA Inputs'!$G26-'CBA Inputs'!$F26+1),0)*IF(Z$58=0,0,1)*CapitalCost_ACTIVE*Z$55</f>
        <v>0</v>
      </c>
      <c r="AA69" s="17">
        <f>-IF(AND(AA$58&gt;='CBA Inputs'!$F26,AA$58&lt;='CBA Inputs'!$G26),'CBA Inputs'!$E26/('CBA Inputs'!$G26-'CBA Inputs'!$F26+1),0)*IF(AA$58=0,0,1)*CapitalCost_ACTIVE*AA$55</f>
        <v>0</v>
      </c>
      <c r="AB69" s="17">
        <f>-IF(AND(AB$58&gt;='CBA Inputs'!$F26,AB$58&lt;='CBA Inputs'!$G26),'CBA Inputs'!$E26/('CBA Inputs'!$G26-'CBA Inputs'!$F26+1),0)*IF(AB$58=0,0,1)*CapitalCost_ACTIVE*AB$55</f>
        <v>0</v>
      </c>
      <c r="AC69" s="17">
        <f>-IF(AND(AC$58&gt;='CBA Inputs'!$F26,AC$58&lt;='CBA Inputs'!$G26),'CBA Inputs'!$E26/('CBA Inputs'!$G26-'CBA Inputs'!$F26+1),0)*IF(AC$58=0,0,1)*CapitalCost_ACTIVE*AC$55</f>
        <v>0</v>
      </c>
      <c r="AD69" s="17">
        <f>-IF(AND(AD$58&gt;='CBA Inputs'!$F26,AD$58&lt;='CBA Inputs'!$G26),'CBA Inputs'!$E26/('CBA Inputs'!$G26-'CBA Inputs'!$F26+1),0)*IF(AD$58=0,0,1)*CapitalCost_ACTIVE*AD$55</f>
        <v>0</v>
      </c>
      <c r="AE69" s="17">
        <f>-IF(AND(AE$58&gt;='CBA Inputs'!$F26,AE$58&lt;='CBA Inputs'!$G26),'CBA Inputs'!$E26/('CBA Inputs'!$G26-'CBA Inputs'!$F26+1),0)*IF(AE$58=0,0,1)*CapitalCost_ACTIVE*AE$55</f>
        <v>0</v>
      </c>
      <c r="AF69" s="17">
        <f>-IF(AND(AF$58&gt;='CBA Inputs'!$F26,AF$58&lt;='CBA Inputs'!$G26),'CBA Inputs'!$E26/('CBA Inputs'!$G26-'CBA Inputs'!$F26+1),0)*IF(AF$58=0,0,1)*CapitalCost_ACTIVE*AF$55</f>
        <v>0</v>
      </c>
      <c r="AG69" s="17">
        <f>-IF(AND(AG$58&gt;='CBA Inputs'!$F26,AG$58&lt;='CBA Inputs'!$G26),'CBA Inputs'!$E26/('CBA Inputs'!$G26-'CBA Inputs'!$F26+1),0)*IF(AG$58=0,0,1)*CapitalCost_ACTIVE*AG$55</f>
        <v>0</v>
      </c>
      <c r="AH69" s="17">
        <f>-IF(AND(AH$58&gt;='CBA Inputs'!$F26,AH$58&lt;='CBA Inputs'!$G26),'CBA Inputs'!$E26/('CBA Inputs'!$G26-'CBA Inputs'!$F26+1),0)*IF(AH$58=0,0,1)*CapitalCost_ACTIVE*AH$55</f>
        <v>0</v>
      </c>
      <c r="AI69" s="17">
        <f>-IF(AND(AI$58&gt;='CBA Inputs'!$F26,AI$58&lt;='CBA Inputs'!$G26),'CBA Inputs'!$E26/('CBA Inputs'!$G26-'CBA Inputs'!$F26+1),0)*IF(AI$58=0,0,1)*CapitalCost_ACTIVE*AI$55</f>
        <v>0</v>
      </c>
      <c r="AJ69" s="17">
        <f>-IF(AND(AJ$58&gt;='CBA Inputs'!$F26,AJ$58&lt;='CBA Inputs'!$G26),'CBA Inputs'!$E26/('CBA Inputs'!$G26-'CBA Inputs'!$F26+1),0)*IF(AJ$58=0,0,1)*CapitalCost_ACTIVE*AJ$55</f>
        <v>0</v>
      </c>
      <c r="AK69" s="178">
        <f>IFERROR(PMT(DiscountRate_ACTIVE,'CBA Inputs'!I26,'CBA Inputs'!E26),0)</f>
        <v>-55178293.647835426</v>
      </c>
      <c r="AM69" s="24">
        <f>'CBA Inputs'!L26</f>
        <v>5</v>
      </c>
      <c r="AN69" s="24" t="str">
        <f>'CBA Inputs'!M26</f>
        <v>Option 2B</v>
      </c>
      <c r="AO69" s="24" t="str">
        <f>'CBA Inputs'!N26</f>
        <v>Substation</v>
      </c>
      <c r="AP69" s="12" t="s">
        <v>35</v>
      </c>
      <c r="AQ69" s="18">
        <f t="shared" si="29"/>
        <v>0</v>
      </c>
      <c r="AR69" s="17">
        <f>-IF(AND(G$58&gt;='CBA Inputs'!$P26,G$58&lt;='CBA Inputs'!$Q26),'CBA Inputs'!$O26/('CBA Inputs'!$Q26-'CBA Inputs'!$P26+1),0)*IF(G$58=0,0,1)*CapitalCost_ACTIVE*G$55*IF(Scenario_Select='CBA Inputs'!$T26,1,0)</f>
        <v>0</v>
      </c>
      <c r="AS69" s="17">
        <f>-IF(AND(H$58&gt;='CBA Inputs'!$P26,H$58&lt;='CBA Inputs'!$Q26),'CBA Inputs'!$O26/('CBA Inputs'!$Q26-'CBA Inputs'!$P26+1),0)*IF(H$58=0,0,1)*CapitalCost_ACTIVE*H$55*IF(Scenario_Select='CBA Inputs'!$T26,1,0)</f>
        <v>0</v>
      </c>
      <c r="AT69" s="17">
        <f>-IF(AND(I$58&gt;='CBA Inputs'!$P26,I$58&lt;='CBA Inputs'!$Q26),'CBA Inputs'!$O26/('CBA Inputs'!$Q26-'CBA Inputs'!$P26+1),0)*IF(I$58=0,0,1)*CapitalCost_ACTIVE*I$55*IF(Scenario_Select='CBA Inputs'!$T26,1,0)</f>
        <v>0</v>
      </c>
      <c r="AU69" s="17">
        <f>-IF(AND(J$58&gt;='CBA Inputs'!$P26,J$58&lt;='CBA Inputs'!$Q26),'CBA Inputs'!$O26/('CBA Inputs'!$Q26-'CBA Inputs'!$P26+1),0)*IF(J$58=0,0,1)*CapitalCost_ACTIVE*J$55*IF(Scenario_Select='CBA Inputs'!$T26,1,0)</f>
        <v>0</v>
      </c>
      <c r="AV69" s="17">
        <f>-IF(AND(K$58&gt;='CBA Inputs'!$P26,K$58&lt;='CBA Inputs'!$Q26),'CBA Inputs'!$O26/('CBA Inputs'!$Q26-'CBA Inputs'!$P26+1),0)*IF(K$58=0,0,1)*CapitalCost_ACTIVE*K$55*IF(Scenario_Select='CBA Inputs'!$T26,1,0)</f>
        <v>0</v>
      </c>
      <c r="AW69" s="17">
        <f>-IF(AND(L$58&gt;='CBA Inputs'!$P26,L$58&lt;='CBA Inputs'!$Q26),'CBA Inputs'!$O26/('CBA Inputs'!$Q26-'CBA Inputs'!$P26+1),0)*IF(L$58=0,0,1)*CapitalCost_ACTIVE*L$55*IF(Scenario_Select='CBA Inputs'!$T26,1,0)</f>
        <v>0</v>
      </c>
      <c r="AX69" s="17">
        <f>-IF(AND(M$58&gt;='CBA Inputs'!$P26,M$58&lt;='CBA Inputs'!$Q26),'CBA Inputs'!$O26/('CBA Inputs'!$Q26-'CBA Inputs'!$P26+1),0)*IF(M$58=0,0,1)*CapitalCost_ACTIVE*M$55*IF(Scenario_Select='CBA Inputs'!$T26,1,0)</f>
        <v>0</v>
      </c>
      <c r="AY69" s="17">
        <f>-IF(AND(N$58&gt;='CBA Inputs'!$P26,N$58&lt;='CBA Inputs'!$Q26),'CBA Inputs'!$O26/('CBA Inputs'!$Q26-'CBA Inputs'!$P26+1),0)*IF(N$58=0,0,1)*CapitalCost_ACTIVE*N$55*IF(Scenario_Select='CBA Inputs'!$T26,1,0)</f>
        <v>0</v>
      </c>
      <c r="AZ69" s="17">
        <f>-IF(AND(O$58&gt;='CBA Inputs'!$P26,O$58&lt;='CBA Inputs'!$Q26),'CBA Inputs'!$O26/('CBA Inputs'!$Q26-'CBA Inputs'!$P26+1),0)*IF(O$58=0,0,1)*CapitalCost_ACTIVE*O$55*IF(Scenario_Select='CBA Inputs'!$T26,1,0)</f>
        <v>0</v>
      </c>
      <c r="BA69" s="17">
        <f>-IF(AND(P$58&gt;='CBA Inputs'!$P26,P$58&lt;='CBA Inputs'!$Q26),'CBA Inputs'!$O26/('CBA Inputs'!$Q26-'CBA Inputs'!$P26+1),0)*IF(P$58=0,0,1)*CapitalCost_ACTIVE*P$55*IF(Scenario_Select='CBA Inputs'!$T26,1,0)</f>
        <v>0</v>
      </c>
      <c r="BB69" s="17">
        <f>-IF(AND(Q$58&gt;='CBA Inputs'!$P26,Q$58&lt;='CBA Inputs'!$Q26),'CBA Inputs'!$O26/('CBA Inputs'!$Q26-'CBA Inputs'!$P26+1),0)*IF(Q$58=0,0,1)*CapitalCost_ACTIVE*Q$55*IF(Scenario_Select='CBA Inputs'!$T26,1,0)</f>
        <v>0</v>
      </c>
      <c r="BC69" s="17">
        <f>-IF(AND(R$58&gt;='CBA Inputs'!$P26,R$58&lt;='CBA Inputs'!$Q26),'CBA Inputs'!$O26/('CBA Inputs'!$Q26-'CBA Inputs'!$P26+1),0)*IF(R$58=0,0,1)*CapitalCost_ACTIVE*R$55*IF(Scenario_Select='CBA Inputs'!$T26,1,0)</f>
        <v>0</v>
      </c>
      <c r="BD69" s="17">
        <f>-IF(AND(S$58&gt;='CBA Inputs'!$P26,S$58&lt;='CBA Inputs'!$Q26),'CBA Inputs'!$O26/('CBA Inputs'!$Q26-'CBA Inputs'!$P26+1),0)*IF(S$58=0,0,1)*CapitalCost_ACTIVE*S$55*IF(Scenario_Select='CBA Inputs'!$T26,1,0)</f>
        <v>0</v>
      </c>
      <c r="BE69" s="17">
        <f>-IF(AND(T$58&gt;='CBA Inputs'!$P26,T$58&lt;='CBA Inputs'!$Q26),'CBA Inputs'!$O26/('CBA Inputs'!$Q26-'CBA Inputs'!$P26+1),0)*IF(T$58=0,0,1)*CapitalCost_ACTIVE*T$55*IF(Scenario_Select='CBA Inputs'!$T26,1,0)</f>
        <v>0</v>
      </c>
      <c r="BF69" s="17">
        <f>-IF(AND(U$58&gt;='CBA Inputs'!$P26,U$58&lt;='CBA Inputs'!$Q26),'CBA Inputs'!$O26/('CBA Inputs'!$Q26-'CBA Inputs'!$P26+1),0)*IF(U$58=0,0,1)*CapitalCost_ACTIVE*U$55*IF(Scenario_Select='CBA Inputs'!$T26,1,0)</f>
        <v>0</v>
      </c>
      <c r="BG69" s="17">
        <f>-IF(AND(V$58&gt;='CBA Inputs'!$P26,V$58&lt;='CBA Inputs'!$Q26),'CBA Inputs'!$O26/('CBA Inputs'!$Q26-'CBA Inputs'!$P26+1),0)*IF(V$58=0,0,1)*CapitalCost_ACTIVE*V$55*IF(Scenario_Select='CBA Inputs'!$T26,1,0)</f>
        <v>0</v>
      </c>
      <c r="BH69" s="17">
        <f>-IF(AND(W$58&gt;='CBA Inputs'!$P26,W$58&lt;='CBA Inputs'!$Q26),'CBA Inputs'!$O26/('CBA Inputs'!$Q26-'CBA Inputs'!$P26+1),0)*IF(W$58=0,0,1)*CapitalCost_ACTIVE*W$55*IF(Scenario_Select='CBA Inputs'!$T26,1,0)</f>
        <v>0</v>
      </c>
      <c r="BI69" s="17">
        <f>-IF(AND(X$58&gt;='CBA Inputs'!$P26,X$58&lt;='CBA Inputs'!$Q26),'CBA Inputs'!$O26/('CBA Inputs'!$Q26-'CBA Inputs'!$P26+1),0)*IF(X$58=0,0,1)*CapitalCost_ACTIVE*X$55*IF(Scenario_Select='CBA Inputs'!$T26,1,0)</f>
        <v>0</v>
      </c>
      <c r="BJ69" s="17">
        <f>-IF(AND(Y$58&gt;='CBA Inputs'!$P26,Y$58&lt;='CBA Inputs'!$Q26),'CBA Inputs'!$O26/('CBA Inputs'!$Q26-'CBA Inputs'!$P26+1),0)*IF(Y$58=0,0,1)*CapitalCost_ACTIVE*Y$55*IF(Scenario_Select='CBA Inputs'!$T26,1,0)</f>
        <v>0</v>
      </c>
      <c r="BK69" s="17">
        <f>-IF(AND(Z$58&gt;='CBA Inputs'!$P26,Z$58&lt;='CBA Inputs'!$Q26),'CBA Inputs'!$O26/('CBA Inputs'!$Q26-'CBA Inputs'!$P26+1),0)*IF(Z$58=0,0,1)*CapitalCost_ACTIVE*Z$55*IF(Scenario_Select='CBA Inputs'!$T26,1,0)</f>
        <v>0</v>
      </c>
      <c r="BL69" s="17">
        <f>-IF(AND(AA$58&gt;='CBA Inputs'!$P26,AA$58&lt;='CBA Inputs'!$Q26),'CBA Inputs'!$O26/('CBA Inputs'!$Q26-'CBA Inputs'!$P26+1),0)*IF(AA$58=0,0,1)*CapitalCost_ACTIVE*AA$55*IF(Scenario_Select='CBA Inputs'!$T26,1,0)</f>
        <v>0</v>
      </c>
      <c r="BM69" s="17">
        <f>-IF(AND(AB$58&gt;='CBA Inputs'!$P26,AB$58&lt;='CBA Inputs'!$Q26),'CBA Inputs'!$O26/('CBA Inputs'!$Q26-'CBA Inputs'!$P26+1),0)*IF(AB$58=0,0,1)*CapitalCost_ACTIVE*AB$55*IF(Scenario_Select='CBA Inputs'!$T26,1,0)</f>
        <v>0</v>
      </c>
      <c r="BN69" s="17">
        <f>-IF(AND(AC$58&gt;='CBA Inputs'!$P26,AC$58&lt;='CBA Inputs'!$Q26),'CBA Inputs'!$O26/('CBA Inputs'!$Q26-'CBA Inputs'!$P26+1),0)*IF(AC$58=0,0,1)*CapitalCost_ACTIVE*AC$55*IF(Scenario_Select='CBA Inputs'!$T26,1,0)</f>
        <v>0</v>
      </c>
      <c r="BO69" s="17">
        <f>-IF(AND(AD$58&gt;='CBA Inputs'!$P26,AD$58&lt;='CBA Inputs'!$Q26),'CBA Inputs'!$O26/('CBA Inputs'!$Q26-'CBA Inputs'!$P26+1),0)*IF(AD$58=0,0,1)*CapitalCost_ACTIVE*AD$55*IF(Scenario_Select='CBA Inputs'!$T26,1,0)</f>
        <v>0</v>
      </c>
      <c r="BP69" s="17">
        <f>-IF(AND(AE$58&gt;='CBA Inputs'!$P26,AE$58&lt;='CBA Inputs'!$Q26),'CBA Inputs'!$O26/('CBA Inputs'!$Q26-'CBA Inputs'!$P26+1),0)*IF(AE$58=0,0,1)*CapitalCost_ACTIVE*AE$55*IF(Scenario_Select='CBA Inputs'!$T26,1,0)</f>
        <v>0</v>
      </c>
      <c r="BQ69" s="17">
        <f>-IF(AND(AF$58&gt;='CBA Inputs'!$P26,AF$58&lt;='CBA Inputs'!$Q26),'CBA Inputs'!$O26/('CBA Inputs'!$Q26-'CBA Inputs'!$P26+1),0)*IF(AF$58=0,0,1)*CapitalCost_ACTIVE*AF$55*IF(Scenario_Select='CBA Inputs'!$T26,1,0)</f>
        <v>0</v>
      </c>
      <c r="BR69" s="17">
        <f>-IF(AND(AG$58&gt;='CBA Inputs'!$P26,AG$58&lt;='CBA Inputs'!$Q26),'CBA Inputs'!$O26/('CBA Inputs'!$Q26-'CBA Inputs'!$P26+1),0)*IF(AG$58=0,0,1)*CapitalCost_ACTIVE*AG$55*IF(Scenario_Select='CBA Inputs'!$T26,1,0)</f>
        <v>0</v>
      </c>
      <c r="BS69" s="17">
        <f>-IF(AND(AH$58&gt;='CBA Inputs'!$P26,AH$58&lt;='CBA Inputs'!$Q26),'CBA Inputs'!$O26/('CBA Inputs'!$Q26-'CBA Inputs'!$P26+1),0)*IF(AH$58=0,0,1)*CapitalCost_ACTIVE*AH$55*IF(Scenario_Select='CBA Inputs'!$T26,1,0)</f>
        <v>0</v>
      </c>
      <c r="BT69" s="17">
        <f>-IF(AND(AI$58&gt;='CBA Inputs'!$P26,AI$58&lt;='CBA Inputs'!$Q26),'CBA Inputs'!$O26/('CBA Inputs'!$Q26-'CBA Inputs'!$P26+1),0)*IF(AI$58=0,0,1)*CapitalCost_ACTIVE*AI$55*IF(Scenario_Select='CBA Inputs'!$T26,1,0)</f>
        <v>0</v>
      </c>
      <c r="BU69" s="17">
        <f>-IF(AND(AJ$58&gt;='CBA Inputs'!$P26,AJ$58&lt;='CBA Inputs'!$Q26),'CBA Inputs'!$O26/('CBA Inputs'!$Q26-'CBA Inputs'!$P26+1),0)*IF(AJ$58=0,0,1)*CapitalCost_ACTIVE*AJ$55*IF(Scenario_Select='CBA Inputs'!$T26,1,0)</f>
        <v>0</v>
      </c>
      <c r="BV69" s="178">
        <f>IFERROR(PMT(DiscountRate_ACTIVE,'CBA Inputs'!S26,'CBA Inputs'!O26),0)*IF(Scenario_Select='CBA Inputs'!$T26,1,0)</f>
        <v>0</v>
      </c>
    </row>
    <row r="70" spans="1:74" x14ac:dyDescent="0.35">
      <c r="A70" s="134"/>
      <c r="B70" s="24">
        <f>+'CBA Inputs'!B27</f>
        <v>4</v>
      </c>
      <c r="C70" s="25" t="str">
        <f>+'CBA Inputs'!C27</f>
        <v>Option 2A</v>
      </c>
      <c r="D70" s="25" t="str">
        <f>'CBA Inputs'!D27</f>
        <v>Substation</v>
      </c>
      <c r="E70" s="12" t="s">
        <v>35</v>
      </c>
      <c r="F70" s="18">
        <f t="shared" si="28"/>
        <v>-315179735.31583583</v>
      </c>
      <c r="G70" s="17">
        <f>-IF(AND(G$58&gt;='CBA Inputs'!$F27,G$58&lt;='CBA Inputs'!$G27),'CBA Inputs'!$E27/('CBA Inputs'!$G27-'CBA Inputs'!$F27+1),0)*IF(G$58=0,0,1)*CapitalCost_ACTIVE*G$55</f>
        <v>0</v>
      </c>
      <c r="H70" s="17">
        <f>-IF(AND(H$58&gt;='CBA Inputs'!$F27,H$58&lt;='CBA Inputs'!$G27),'CBA Inputs'!$E27/('CBA Inputs'!$G27-'CBA Inputs'!$F27+1),0)*IF(H$58=0,0,1)*CapitalCost_ACTIVE*H$55</f>
        <v>-90750000</v>
      </c>
      <c r="I70" s="17">
        <f>-IF(AND(I$58&gt;='CBA Inputs'!$F27,I$58&lt;='CBA Inputs'!$G27),'CBA Inputs'!$E27/('CBA Inputs'!$G27-'CBA Inputs'!$F27+1),0)*IF(I$58=0,0,1)*CapitalCost_ACTIVE*I$55</f>
        <v>-90750000</v>
      </c>
      <c r="J70" s="17">
        <f>-IF(AND(J$58&gt;='CBA Inputs'!$F27,J$58&lt;='CBA Inputs'!$G27),'CBA Inputs'!$E27/('CBA Inputs'!$G27-'CBA Inputs'!$F27+1),0)*IF(J$58=0,0,1)*CapitalCost_ACTIVE*J$55</f>
        <v>-90750000</v>
      </c>
      <c r="K70" s="17">
        <f>-IF(AND(K$58&gt;='CBA Inputs'!$F27,K$58&lt;='CBA Inputs'!$G27),'CBA Inputs'!$E27/('CBA Inputs'!$G27-'CBA Inputs'!$F27+1),0)*IF(K$58=0,0,1)*CapitalCost_ACTIVE*K$55</f>
        <v>-90750000</v>
      </c>
      <c r="L70" s="17">
        <f>-IF(AND(L$58&gt;='CBA Inputs'!$F27,L$58&lt;='CBA Inputs'!$G27),'CBA Inputs'!$E27/('CBA Inputs'!$G27-'CBA Inputs'!$F27+1),0)*IF(L$58=0,0,1)*CapitalCost_ACTIVE*L$55</f>
        <v>0</v>
      </c>
      <c r="M70" s="17">
        <f>-IF(AND(M$58&gt;='CBA Inputs'!$F27,M$58&lt;='CBA Inputs'!$G27),'CBA Inputs'!$E27/('CBA Inputs'!$G27-'CBA Inputs'!$F27+1),0)*IF(M$58=0,0,1)*CapitalCost_ACTIVE*M$55</f>
        <v>0</v>
      </c>
      <c r="N70" s="17">
        <f>-IF(AND(N$58&gt;='CBA Inputs'!$F27,N$58&lt;='CBA Inputs'!$G27),'CBA Inputs'!$E27/('CBA Inputs'!$G27-'CBA Inputs'!$F27+1),0)*IF(N$58=0,0,1)*CapitalCost_ACTIVE*N$55</f>
        <v>0</v>
      </c>
      <c r="O70" s="17">
        <f>-IF(AND(O$58&gt;='CBA Inputs'!$F27,O$58&lt;='CBA Inputs'!$G27),'CBA Inputs'!$E27/('CBA Inputs'!$G27-'CBA Inputs'!$F27+1),0)*IF(O$58=0,0,1)*CapitalCost_ACTIVE*O$55</f>
        <v>0</v>
      </c>
      <c r="P70" s="17">
        <f>-IF(AND(P$58&gt;='CBA Inputs'!$F27,P$58&lt;='CBA Inputs'!$G27),'CBA Inputs'!$E27/('CBA Inputs'!$G27-'CBA Inputs'!$F27+1),0)*IF(P$58=0,0,1)*CapitalCost_ACTIVE*P$55</f>
        <v>0</v>
      </c>
      <c r="Q70" s="17">
        <f>-IF(AND(Q$58&gt;='CBA Inputs'!$F27,Q$58&lt;='CBA Inputs'!$G27),'CBA Inputs'!$E27/('CBA Inputs'!$G27-'CBA Inputs'!$F27+1),0)*IF(Q$58=0,0,1)*CapitalCost_ACTIVE*Q$55</f>
        <v>0</v>
      </c>
      <c r="R70" s="17">
        <f>-IF(AND(R$58&gt;='CBA Inputs'!$F27,R$58&lt;='CBA Inputs'!$G27),'CBA Inputs'!$E27/('CBA Inputs'!$G27-'CBA Inputs'!$F27+1),0)*IF(R$58=0,0,1)*CapitalCost_ACTIVE*R$55</f>
        <v>0</v>
      </c>
      <c r="S70" s="17">
        <f>-IF(AND(S$58&gt;='CBA Inputs'!$F27,S$58&lt;='CBA Inputs'!$G27),'CBA Inputs'!$E27/('CBA Inputs'!$G27-'CBA Inputs'!$F27+1),0)*IF(S$58=0,0,1)*CapitalCost_ACTIVE*S$55</f>
        <v>0</v>
      </c>
      <c r="T70" s="17">
        <f>-IF(AND(T$58&gt;='CBA Inputs'!$F27,T$58&lt;='CBA Inputs'!$G27),'CBA Inputs'!$E27/('CBA Inputs'!$G27-'CBA Inputs'!$F27+1),0)*IF(T$58=0,0,1)*CapitalCost_ACTIVE*T$55</f>
        <v>0</v>
      </c>
      <c r="U70" s="17">
        <f>-IF(AND(U$58&gt;='CBA Inputs'!$F27,U$58&lt;='CBA Inputs'!$G27),'CBA Inputs'!$E27/('CBA Inputs'!$G27-'CBA Inputs'!$F27+1),0)*IF(U$58=0,0,1)*CapitalCost_ACTIVE*U$55</f>
        <v>0</v>
      </c>
      <c r="V70" s="17">
        <f>-IF(AND(V$58&gt;='CBA Inputs'!$F27,V$58&lt;='CBA Inputs'!$G27),'CBA Inputs'!$E27/('CBA Inputs'!$G27-'CBA Inputs'!$F27+1),0)*IF(V$58=0,0,1)*CapitalCost_ACTIVE*V$55</f>
        <v>0</v>
      </c>
      <c r="W70" s="17">
        <f>-IF(AND(W$58&gt;='CBA Inputs'!$F27,W$58&lt;='CBA Inputs'!$G27),'CBA Inputs'!$E27/('CBA Inputs'!$G27-'CBA Inputs'!$F27+1),0)*IF(W$58=0,0,1)*CapitalCost_ACTIVE*W$55</f>
        <v>0</v>
      </c>
      <c r="X70" s="17">
        <f>-IF(AND(X$58&gt;='CBA Inputs'!$F27,X$58&lt;='CBA Inputs'!$G27),'CBA Inputs'!$E27/('CBA Inputs'!$G27-'CBA Inputs'!$F27+1),0)*IF(X$58=0,0,1)*CapitalCost_ACTIVE*X$55</f>
        <v>0</v>
      </c>
      <c r="Y70" s="17">
        <f>-IF(AND(Y$58&gt;='CBA Inputs'!$F27,Y$58&lt;='CBA Inputs'!$G27),'CBA Inputs'!$E27/('CBA Inputs'!$G27-'CBA Inputs'!$F27+1),0)*IF(Y$58=0,0,1)*CapitalCost_ACTIVE*Y$55</f>
        <v>0</v>
      </c>
      <c r="Z70" s="17">
        <f>-IF(AND(Z$58&gt;='CBA Inputs'!$F27,Z$58&lt;='CBA Inputs'!$G27),'CBA Inputs'!$E27/('CBA Inputs'!$G27-'CBA Inputs'!$F27+1),0)*IF(Z$58=0,0,1)*CapitalCost_ACTIVE*Z$55</f>
        <v>0</v>
      </c>
      <c r="AA70" s="17">
        <f>-IF(AND(AA$58&gt;='CBA Inputs'!$F27,AA$58&lt;='CBA Inputs'!$G27),'CBA Inputs'!$E27/('CBA Inputs'!$G27-'CBA Inputs'!$F27+1),0)*IF(AA$58=0,0,1)*CapitalCost_ACTIVE*AA$55</f>
        <v>0</v>
      </c>
      <c r="AB70" s="17">
        <f>-IF(AND(AB$58&gt;='CBA Inputs'!$F27,AB$58&lt;='CBA Inputs'!$G27),'CBA Inputs'!$E27/('CBA Inputs'!$G27-'CBA Inputs'!$F27+1),0)*IF(AB$58=0,0,1)*CapitalCost_ACTIVE*AB$55</f>
        <v>0</v>
      </c>
      <c r="AC70" s="17">
        <f>-IF(AND(AC$58&gt;='CBA Inputs'!$F27,AC$58&lt;='CBA Inputs'!$G27),'CBA Inputs'!$E27/('CBA Inputs'!$G27-'CBA Inputs'!$F27+1),0)*IF(AC$58=0,0,1)*CapitalCost_ACTIVE*AC$55</f>
        <v>0</v>
      </c>
      <c r="AD70" s="17">
        <f>-IF(AND(AD$58&gt;='CBA Inputs'!$F27,AD$58&lt;='CBA Inputs'!$G27),'CBA Inputs'!$E27/('CBA Inputs'!$G27-'CBA Inputs'!$F27+1),0)*IF(AD$58=0,0,1)*CapitalCost_ACTIVE*AD$55</f>
        <v>0</v>
      </c>
      <c r="AE70" s="17">
        <f>-IF(AND(AE$58&gt;='CBA Inputs'!$F27,AE$58&lt;='CBA Inputs'!$G27),'CBA Inputs'!$E27/('CBA Inputs'!$G27-'CBA Inputs'!$F27+1),0)*IF(AE$58=0,0,1)*CapitalCost_ACTIVE*AE$55</f>
        <v>0</v>
      </c>
      <c r="AF70" s="17">
        <f>-IF(AND(AF$58&gt;='CBA Inputs'!$F27,AF$58&lt;='CBA Inputs'!$G27),'CBA Inputs'!$E27/('CBA Inputs'!$G27-'CBA Inputs'!$F27+1),0)*IF(AF$58=0,0,1)*CapitalCost_ACTIVE*AF$55</f>
        <v>0</v>
      </c>
      <c r="AG70" s="17">
        <f>-IF(AND(AG$58&gt;='CBA Inputs'!$F27,AG$58&lt;='CBA Inputs'!$G27),'CBA Inputs'!$E27/('CBA Inputs'!$G27-'CBA Inputs'!$F27+1),0)*IF(AG$58=0,0,1)*CapitalCost_ACTIVE*AG$55</f>
        <v>0</v>
      </c>
      <c r="AH70" s="17">
        <f>-IF(AND(AH$58&gt;='CBA Inputs'!$F27,AH$58&lt;='CBA Inputs'!$G27),'CBA Inputs'!$E27/('CBA Inputs'!$G27-'CBA Inputs'!$F27+1),0)*IF(AH$58=0,0,1)*CapitalCost_ACTIVE*AH$55</f>
        <v>0</v>
      </c>
      <c r="AI70" s="17">
        <f>-IF(AND(AI$58&gt;='CBA Inputs'!$F27,AI$58&lt;='CBA Inputs'!$G27),'CBA Inputs'!$E27/('CBA Inputs'!$G27-'CBA Inputs'!$F27+1),0)*IF(AI$58=0,0,1)*CapitalCost_ACTIVE*AI$55</f>
        <v>0</v>
      </c>
      <c r="AJ70" s="17">
        <f>-IF(AND(AJ$58&gt;='CBA Inputs'!$F27,AJ$58&lt;='CBA Inputs'!$G27),'CBA Inputs'!$E27/('CBA Inputs'!$G27-'CBA Inputs'!$F27+1),0)*IF(AJ$58=0,0,1)*CapitalCost_ACTIVE*AJ$55</f>
        <v>0</v>
      </c>
      <c r="AK70" s="178">
        <f>IFERROR(PMT(DiscountRate_ACTIVE,'CBA Inputs'!I27,'CBA Inputs'!E27),0)</f>
        <v>-23822152.364102859</v>
      </c>
      <c r="AM70" s="24">
        <f>'CBA Inputs'!L27</f>
        <v>5</v>
      </c>
      <c r="AN70" s="24" t="str">
        <f>'CBA Inputs'!M27</f>
        <v>Option 2B</v>
      </c>
      <c r="AO70" s="24" t="str">
        <f>'CBA Inputs'!N27</f>
        <v>Substation</v>
      </c>
      <c r="AP70" s="12" t="s">
        <v>35</v>
      </c>
      <c r="AQ70" s="18">
        <f t="shared" si="29"/>
        <v>0</v>
      </c>
      <c r="AR70" s="17">
        <f>-IF(AND(G$58&gt;='CBA Inputs'!$P27,G$58&lt;='CBA Inputs'!$Q27),'CBA Inputs'!$O27/('CBA Inputs'!$Q27-'CBA Inputs'!$P27+1),0)*IF(G$58=0,0,1)*CapitalCost_ACTIVE*G$55*IF(Scenario_Select='CBA Inputs'!$T27,1,0)</f>
        <v>0</v>
      </c>
      <c r="AS70" s="17">
        <f>-IF(AND(H$58&gt;='CBA Inputs'!$P27,H$58&lt;='CBA Inputs'!$Q27),'CBA Inputs'!$O27/('CBA Inputs'!$Q27-'CBA Inputs'!$P27+1),0)*IF(H$58=0,0,1)*CapitalCost_ACTIVE*H$55*IF(Scenario_Select='CBA Inputs'!$T27,1,0)</f>
        <v>0</v>
      </c>
      <c r="AT70" s="17">
        <f>-IF(AND(I$58&gt;='CBA Inputs'!$P27,I$58&lt;='CBA Inputs'!$Q27),'CBA Inputs'!$O27/('CBA Inputs'!$Q27-'CBA Inputs'!$P27+1),0)*IF(I$58=0,0,1)*CapitalCost_ACTIVE*I$55*IF(Scenario_Select='CBA Inputs'!$T27,1,0)</f>
        <v>0</v>
      </c>
      <c r="AU70" s="17">
        <f>-IF(AND(J$58&gt;='CBA Inputs'!$P27,J$58&lt;='CBA Inputs'!$Q27),'CBA Inputs'!$O27/('CBA Inputs'!$Q27-'CBA Inputs'!$P27+1),0)*IF(J$58=0,0,1)*CapitalCost_ACTIVE*J$55*IF(Scenario_Select='CBA Inputs'!$T27,1,0)</f>
        <v>0</v>
      </c>
      <c r="AV70" s="17">
        <f>-IF(AND(K$58&gt;='CBA Inputs'!$P27,K$58&lt;='CBA Inputs'!$Q27),'CBA Inputs'!$O27/('CBA Inputs'!$Q27-'CBA Inputs'!$P27+1),0)*IF(K$58=0,0,1)*CapitalCost_ACTIVE*K$55*IF(Scenario_Select='CBA Inputs'!$T27,1,0)</f>
        <v>0</v>
      </c>
      <c r="AW70" s="17">
        <f>-IF(AND(L$58&gt;='CBA Inputs'!$P27,L$58&lt;='CBA Inputs'!$Q27),'CBA Inputs'!$O27/('CBA Inputs'!$Q27-'CBA Inputs'!$P27+1),0)*IF(L$58=0,0,1)*CapitalCost_ACTIVE*L$55*IF(Scenario_Select='CBA Inputs'!$T27,1,0)</f>
        <v>0</v>
      </c>
      <c r="AX70" s="17">
        <f>-IF(AND(M$58&gt;='CBA Inputs'!$P27,M$58&lt;='CBA Inputs'!$Q27),'CBA Inputs'!$O27/('CBA Inputs'!$Q27-'CBA Inputs'!$P27+1),0)*IF(M$58=0,0,1)*CapitalCost_ACTIVE*M$55*IF(Scenario_Select='CBA Inputs'!$T27,1,0)</f>
        <v>0</v>
      </c>
      <c r="AY70" s="17">
        <f>-IF(AND(N$58&gt;='CBA Inputs'!$P27,N$58&lt;='CBA Inputs'!$Q27),'CBA Inputs'!$O27/('CBA Inputs'!$Q27-'CBA Inputs'!$P27+1),0)*IF(N$58=0,0,1)*CapitalCost_ACTIVE*N$55*IF(Scenario_Select='CBA Inputs'!$T27,1,0)</f>
        <v>0</v>
      </c>
      <c r="AZ70" s="17">
        <f>-IF(AND(O$58&gt;='CBA Inputs'!$P27,O$58&lt;='CBA Inputs'!$Q27),'CBA Inputs'!$O27/('CBA Inputs'!$Q27-'CBA Inputs'!$P27+1),0)*IF(O$58=0,0,1)*CapitalCost_ACTIVE*O$55*IF(Scenario_Select='CBA Inputs'!$T27,1,0)</f>
        <v>0</v>
      </c>
      <c r="BA70" s="17">
        <f>-IF(AND(P$58&gt;='CBA Inputs'!$P27,P$58&lt;='CBA Inputs'!$Q27),'CBA Inputs'!$O27/('CBA Inputs'!$Q27-'CBA Inputs'!$P27+1),0)*IF(P$58=0,0,1)*CapitalCost_ACTIVE*P$55*IF(Scenario_Select='CBA Inputs'!$T27,1,0)</f>
        <v>0</v>
      </c>
      <c r="BB70" s="17">
        <f>-IF(AND(Q$58&gt;='CBA Inputs'!$P27,Q$58&lt;='CBA Inputs'!$Q27),'CBA Inputs'!$O27/('CBA Inputs'!$Q27-'CBA Inputs'!$P27+1),0)*IF(Q$58=0,0,1)*CapitalCost_ACTIVE*Q$55*IF(Scenario_Select='CBA Inputs'!$T27,1,0)</f>
        <v>0</v>
      </c>
      <c r="BC70" s="17">
        <f>-IF(AND(R$58&gt;='CBA Inputs'!$P27,R$58&lt;='CBA Inputs'!$Q27),'CBA Inputs'!$O27/('CBA Inputs'!$Q27-'CBA Inputs'!$P27+1),0)*IF(R$58=0,0,1)*CapitalCost_ACTIVE*R$55*IF(Scenario_Select='CBA Inputs'!$T27,1,0)</f>
        <v>0</v>
      </c>
      <c r="BD70" s="17">
        <f>-IF(AND(S$58&gt;='CBA Inputs'!$P27,S$58&lt;='CBA Inputs'!$Q27),'CBA Inputs'!$O27/('CBA Inputs'!$Q27-'CBA Inputs'!$P27+1),0)*IF(S$58=0,0,1)*CapitalCost_ACTIVE*S$55*IF(Scenario_Select='CBA Inputs'!$T27,1,0)</f>
        <v>0</v>
      </c>
      <c r="BE70" s="17">
        <f>-IF(AND(T$58&gt;='CBA Inputs'!$P27,T$58&lt;='CBA Inputs'!$Q27),'CBA Inputs'!$O27/('CBA Inputs'!$Q27-'CBA Inputs'!$P27+1),0)*IF(T$58=0,0,1)*CapitalCost_ACTIVE*T$55*IF(Scenario_Select='CBA Inputs'!$T27,1,0)</f>
        <v>0</v>
      </c>
      <c r="BF70" s="17">
        <f>-IF(AND(U$58&gt;='CBA Inputs'!$P27,U$58&lt;='CBA Inputs'!$Q27),'CBA Inputs'!$O27/('CBA Inputs'!$Q27-'CBA Inputs'!$P27+1),0)*IF(U$58=0,0,1)*CapitalCost_ACTIVE*U$55*IF(Scenario_Select='CBA Inputs'!$T27,1,0)</f>
        <v>0</v>
      </c>
      <c r="BG70" s="17">
        <f>-IF(AND(V$58&gt;='CBA Inputs'!$P27,V$58&lt;='CBA Inputs'!$Q27),'CBA Inputs'!$O27/('CBA Inputs'!$Q27-'CBA Inputs'!$P27+1),0)*IF(V$58=0,0,1)*CapitalCost_ACTIVE*V$55*IF(Scenario_Select='CBA Inputs'!$T27,1,0)</f>
        <v>0</v>
      </c>
      <c r="BH70" s="17">
        <f>-IF(AND(W$58&gt;='CBA Inputs'!$P27,W$58&lt;='CBA Inputs'!$Q27),'CBA Inputs'!$O27/('CBA Inputs'!$Q27-'CBA Inputs'!$P27+1),0)*IF(W$58=0,0,1)*CapitalCost_ACTIVE*W$55*IF(Scenario_Select='CBA Inputs'!$T27,1,0)</f>
        <v>0</v>
      </c>
      <c r="BI70" s="17">
        <f>-IF(AND(X$58&gt;='CBA Inputs'!$P27,X$58&lt;='CBA Inputs'!$Q27),'CBA Inputs'!$O27/('CBA Inputs'!$Q27-'CBA Inputs'!$P27+1),0)*IF(X$58=0,0,1)*CapitalCost_ACTIVE*X$55*IF(Scenario_Select='CBA Inputs'!$T27,1,0)</f>
        <v>0</v>
      </c>
      <c r="BJ70" s="17">
        <f>-IF(AND(Y$58&gt;='CBA Inputs'!$P27,Y$58&lt;='CBA Inputs'!$Q27),'CBA Inputs'!$O27/('CBA Inputs'!$Q27-'CBA Inputs'!$P27+1),0)*IF(Y$58=0,0,1)*CapitalCost_ACTIVE*Y$55*IF(Scenario_Select='CBA Inputs'!$T27,1,0)</f>
        <v>0</v>
      </c>
      <c r="BK70" s="17">
        <f>-IF(AND(Z$58&gt;='CBA Inputs'!$P27,Z$58&lt;='CBA Inputs'!$Q27),'CBA Inputs'!$O27/('CBA Inputs'!$Q27-'CBA Inputs'!$P27+1),0)*IF(Z$58=0,0,1)*CapitalCost_ACTIVE*Z$55*IF(Scenario_Select='CBA Inputs'!$T27,1,0)</f>
        <v>0</v>
      </c>
      <c r="BL70" s="17">
        <f>-IF(AND(AA$58&gt;='CBA Inputs'!$P27,AA$58&lt;='CBA Inputs'!$Q27),'CBA Inputs'!$O27/('CBA Inputs'!$Q27-'CBA Inputs'!$P27+1),0)*IF(AA$58=0,0,1)*CapitalCost_ACTIVE*AA$55*IF(Scenario_Select='CBA Inputs'!$T27,1,0)</f>
        <v>0</v>
      </c>
      <c r="BM70" s="17">
        <f>-IF(AND(AB$58&gt;='CBA Inputs'!$P27,AB$58&lt;='CBA Inputs'!$Q27),'CBA Inputs'!$O27/('CBA Inputs'!$Q27-'CBA Inputs'!$P27+1),0)*IF(AB$58=0,0,1)*CapitalCost_ACTIVE*AB$55*IF(Scenario_Select='CBA Inputs'!$T27,1,0)</f>
        <v>0</v>
      </c>
      <c r="BN70" s="17">
        <f>-IF(AND(AC$58&gt;='CBA Inputs'!$P27,AC$58&lt;='CBA Inputs'!$Q27),'CBA Inputs'!$O27/('CBA Inputs'!$Q27-'CBA Inputs'!$P27+1),0)*IF(AC$58=0,0,1)*CapitalCost_ACTIVE*AC$55*IF(Scenario_Select='CBA Inputs'!$T27,1,0)</f>
        <v>0</v>
      </c>
      <c r="BO70" s="17">
        <f>-IF(AND(AD$58&gt;='CBA Inputs'!$P27,AD$58&lt;='CBA Inputs'!$Q27),'CBA Inputs'!$O27/('CBA Inputs'!$Q27-'CBA Inputs'!$P27+1),0)*IF(AD$58=0,0,1)*CapitalCost_ACTIVE*AD$55*IF(Scenario_Select='CBA Inputs'!$T27,1,0)</f>
        <v>0</v>
      </c>
      <c r="BP70" s="17">
        <f>-IF(AND(AE$58&gt;='CBA Inputs'!$P27,AE$58&lt;='CBA Inputs'!$Q27),'CBA Inputs'!$O27/('CBA Inputs'!$Q27-'CBA Inputs'!$P27+1),0)*IF(AE$58=0,0,1)*CapitalCost_ACTIVE*AE$55*IF(Scenario_Select='CBA Inputs'!$T27,1,0)</f>
        <v>0</v>
      </c>
      <c r="BQ70" s="17">
        <f>-IF(AND(AF$58&gt;='CBA Inputs'!$P27,AF$58&lt;='CBA Inputs'!$Q27),'CBA Inputs'!$O27/('CBA Inputs'!$Q27-'CBA Inputs'!$P27+1),0)*IF(AF$58=0,0,1)*CapitalCost_ACTIVE*AF$55*IF(Scenario_Select='CBA Inputs'!$T27,1,0)</f>
        <v>0</v>
      </c>
      <c r="BR70" s="17">
        <f>-IF(AND(AG$58&gt;='CBA Inputs'!$P27,AG$58&lt;='CBA Inputs'!$Q27),'CBA Inputs'!$O27/('CBA Inputs'!$Q27-'CBA Inputs'!$P27+1),0)*IF(AG$58=0,0,1)*CapitalCost_ACTIVE*AG$55*IF(Scenario_Select='CBA Inputs'!$T27,1,0)</f>
        <v>0</v>
      </c>
      <c r="BS70" s="17">
        <f>-IF(AND(AH$58&gt;='CBA Inputs'!$P27,AH$58&lt;='CBA Inputs'!$Q27),'CBA Inputs'!$O27/('CBA Inputs'!$Q27-'CBA Inputs'!$P27+1),0)*IF(AH$58=0,0,1)*CapitalCost_ACTIVE*AH$55*IF(Scenario_Select='CBA Inputs'!$T27,1,0)</f>
        <v>0</v>
      </c>
      <c r="BT70" s="17">
        <f>-IF(AND(AI$58&gt;='CBA Inputs'!$P27,AI$58&lt;='CBA Inputs'!$Q27),'CBA Inputs'!$O27/('CBA Inputs'!$Q27-'CBA Inputs'!$P27+1),0)*IF(AI$58=0,0,1)*CapitalCost_ACTIVE*AI$55*IF(Scenario_Select='CBA Inputs'!$T27,1,0)</f>
        <v>0</v>
      </c>
      <c r="BU70" s="17">
        <f>-IF(AND(AJ$58&gt;='CBA Inputs'!$P27,AJ$58&lt;='CBA Inputs'!$Q27),'CBA Inputs'!$O27/('CBA Inputs'!$Q27-'CBA Inputs'!$P27+1),0)*IF(AJ$58=0,0,1)*CapitalCost_ACTIVE*AJ$55*IF(Scenario_Select='CBA Inputs'!$T27,1,0)</f>
        <v>0</v>
      </c>
      <c r="BV70" s="178">
        <f>IFERROR(PMT(DiscountRate_ACTIVE,'CBA Inputs'!S27,'CBA Inputs'!O27),0)*IF(Scenario_Select='CBA Inputs'!$T27,1,0)</f>
        <v>0</v>
      </c>
    </row>
    <row r="71" spans="1:74" x14ac:dyDescent="0.35">
      <c r="A71" s="134"/>
      <c r="B71" s="24">
        <f>+'CBA Inputs'!B28</f>
        <v>5</v>
      </c>
      <c r="C71" s="25" t="str">
        <f>+'CBA Inputs'!C28</f>
        <v>Option 2B</v>
      </c>
      <c r="D71" s="25" t="str">
        <f>'CBA Inputs'!D28</f>
        <v>Lines</v>
      </c>
      <c r="E71" s="12" t="s">
        <v>35</v>
      </c>
      <c r="F71" s="18">
        <f t="shared" si="28"/>
        <v>-937724832.34463549</v>
      </c>
      <c r="G71" s="17">
        <f>-IF(AND(G$58&gt;='CBA Inputs'!$F28,G$58&lt;='CBA Inputs'!$G28),'CBA Inputs'!$E28/('CBA Inputs'!$G28-'CBA Inputs'!$F28+1),0)*IF(G$58=0,0,1)*CapitalCost_ACTIVE*G$55</f>
        <v>0</v>
      </c>
      <c r="H71" s="17">
        <f>-IF(AND(H$58&gt;='CBA Inputs'!$F28,H$58&lt;='CBA Inputs'!$G28),'CBA Inputs'!$E28/('CBA Inputs'!$G28-'CBA Inputs'!$F28+1),0)*IF(H$58=0,0,1)*CapitalCost_ACTIVE*H$55</f>
        <v>-270000000</v>
      </c>
      <c r="I71" s="17">
        <f>-IF(AND(I$58&gt;='CBA Inputs'!$F28,I$58&lt;='CBA Inputs'!$G28),'CBA Inputs'!$E28/('CBA Inputs'!$G28-'CBA Inputs'!$F28+1),0)*IF(I$58=0,0,1)*CapitalCost_ACTIVE*I$55</f>
        <v>-270000000</v>
      </c>
      <c r="J71" s="17">
        <f>-IF(AND(J$58&gt;='CBA Inputs'!$F28,J$58&lt;='CBA Inputs'!$G28),'CBA Inputs'!$E28/('CBA Inputs'!$G28-'CBA Inputs'!$F28+1),0)*IF(J$58=0,0,1)*CapitalCost_ACTIVE*J$55</f>
        <v>-270000000</v>
      </c>
      <c r="K71" s="17">
        <f>-IF(AND(K$58&gt;='CBA Inputs'!$F28,K$58&lt;='CBA Inputs'!$G28),'CBA Inputs'!$E28/('CBA Inputs'!$G28-'CBA Inputs'!$F28+1),0)*IF(K$58=0,0,1)*CapitalCost_ACTIVE*K$55</f>
        <v>-270000000</v>
      </c>
      <c r="L71" s="17">
        <f>-IF(AND(L$58&gt;='CBA Inputs'!$F28,L$58&lt;='CBA Inputs'!$G28),'CBA Inputs'!$E28/('CBA Inputs'!$G28-'CBA Inputs'!$F28+1),0)*IF(L$58=0,0,1)*CapitalCost_ACTIVE*L$55</f>
        <v>0</v>
      </c>
      <c r="M71" s="17">
        <f>-IF(AND(M$58&gt;='CBA Inputs'!$F28,M$58&lt;='CBA Inputs'!$G28),'CBA Inputs'!$E28/('CBA Inputs'!$G28-'CBA Inputs'!$F28+1),0)*IF(M$58=0,0,1)*CapitalCost_ACTIVE*M$55</f>
        <v>0</v>
      </c>
      <c r="N71" s="17">
        <f>-IF(AND(N$58&gt;='CBA Inputs'!$F28,N$58&lt;='CBA Inputs'!$G28),'CBA Inputs'!$E28/('CBA Inputs'!$G28-'CBA Inputs'!$F28+1),0)*IF(N$58=0,0,1)*CapitalCost_ACTIVE*N$55</f>
        <v>0</v>
      </c>
      <c r="O71" s="17">
        <f>-IF(AND(O$58&gt;='CBA Inputs'!$F28,O$58&lt;='CBA Inputs'!$G28),'CBA Inputs'!$E28/('CBA Inputs'!$G28-'CBA Inputs'!$F28+1),0)*IF(O$58=0,0,1)*CapitalCost_ACTIVE*O$55</f>
        <v>0</v>
      </c>
      <c r="P71" s="17">
        <f>-IF(AND(P$58&gt;='CBA Inputs'!$F28,P$58&lt;='CBA Inputs'!$G28),'CBA Inputs'!$E28/('CBA Inputs'!$G28-'CBA Inputs'!$F28+1),0)*IF(P$58=0,0,1)*CapitalCost_ACTIVE*P$55</f>
        <v>0</v>
      </c>
      <c r="Q71" s="17">
        <f>-IF(AND(Q$58&gt;='CBA Inputs'!$F28,Q$58&lt;='CBA Inputs'!$G28),'CBA Inputs'!$E28/('CBA Inputs'!$G28-'CBA Inputs'!$F28+1),0)*IF(Q$58=0,0,1)*CapitalCost_ACTIVE*Q$55</f>
        <v>0</v>
      </c>
      <c r="R71" s="17">
        <f>-IF(AND(R$58&gt;='CBA Inputs'!$F28,R$58&lt;='CBA Inputs'!$G28),'CBA Inputs'!$E28/('CBA Inputs'!$G28-'CBA Inputs'!$F28+1),0)*IF(R$58=0,0,1)*CapitalCost_ACTIVE*R$55</f>
        <v>0</v>
      </c>
      <c r="S71" s="17">
        <f>-IF(AND(S$58&gt;='CBA Inputs'!$F28,S$58&lt;='CBA Inputs'!$G28),'CBA Inputs'!$E28/('CBA Inputs'!$G28-'CBA Inputs'!$F28+1),0)*IF(S$58=0,0,1)*CapitalCost_ACTIVE*S$55</f>
        <v>0</v>
      </c>
      <c r="T71" s="17">
        <f>-IF(AND(T$58&gt;='CBA Inputs'!$F28,T$58&lt;='CBA Inputs'!$G28),'CBA Inputs'!$E28/('CBA Inputs'!$G28-'CBA Inputs'!$F28+1),0)*IF(T$58=0,0,1)*CapitalCost_ACTIVE*T$55</f>
        <v>0</v>
      </c>
      <c r="U71" s="17">
        <f>-IF(AND(U$58&gt;='CBA Inputs'!$F28,U$58&lt;='CBA Inputs'!$G28),'CBA Inputs'!$E28/('CBA Inputs'!$G28-'CBA Inputs'!$F28+1),0)*IF(U$58=0,0,1)*CapitalCost_ACTIVE*U$55</f>
        <v>0</v>
      </c>
      <c r="V71" s="17">
        <f>-IF(AND(V$58&gt;='CBA Inputs'!$F28,V$58&lt;='CBA Inputs'!$G28),'CBA Inputs'!$E28/('CBA Inputs'!$G28-'CBA Inputs'!$F28+1),0)*IF(V$58=0,0,1)*CapitalCost_ACTIVE*V$55</f>
        <v>0</v>
      </c>
      <c r="W71" s="17">
        <f>-IF(AND(W$58&gt;='CBA Inputs'!$F28,W$58&lt;='CBA Inputs'!$G28),'CBA Inputs'!$E28/('CBA Inputs'!$G28-'CBA Inputs'!$F28+1),0)*IF(W$58=0,0,1)*CapitalCost_ACTIVE*W$55</f>
        <v>0</v>
      </c>
      <c r="X71" s="17">
        <f>-IF(AND(X$58&gt;='CBA Inputs'!$F28,X$58&lt;='CBA Inputs'!$G28),'CBA Inputs'!$E28/('CBA Inputs'!$G28-'CBA Inputs'!$F28+1),0)*IF(X$58=0,0,1)*CapitalCost_ACTIVE*X$55</f>
        <v>0</v>
      </c>
      <c r="Y71" s="17">
        <f>-IF(AND(Y$58&gt;='CBA Inputs'!$F28,Y$58&lt;='CBA Inputs'!$G28),'CBA Inputs'!$E28/('CBA Inputs'!$G28-'CBA Inputs'!$F28+1),0)*IF(Y$58=0,0,1)*CapitalCost_ACTIVE*Y$55</f>
        <v>0</v>
      </c>
      <c r="Z71" s="17">
        <f>-IF(AND(Z$58&gt;='CBA Inputs'!$F28,Z$58&lt;='CBA Inputs'!$G28),'CBA Inputs'!$E28/('CBA Inputs'!$G28-'CBA Inputs'!$F28+1),0)*IF(Z$58=0,0,1)*CapitalCost_ACTIVE*Z$55</f>
        <v>0</v>
      </c>
      <c r="AA71" s="17">
        <f>-IF(AND(AA$58&gt;='CBA Inputs'!$F28,AA$58&lt;='CBA Inputs'!$G28),'CBA Inputs'!$E28/('CBA Inputs'!$G28-'CBA Inputs'!$F28+1),0)*IF(AA$58=0,0,1)*CapitalCost_ACTIVE*AA$55</f>
        <v>0</v>
      </c>
      <c r="AB71" s="17">
        <f>-IF(AND(AB$58&gt;='CBA Inputs'!$F28,AB$58&lt;='CBA Inputs'!$G28),'CBA Inputs'!$E28/('CBA Inputs'!$G28-'CBA Inputs'!$F28+1),0)*IF(AB$58=0,0,1)*CapitalCost_ACTIVE*AB$55</f>
        <v>0</v>
      </c>
      <c r="AC71" s="17">
        <f>-IF(AND(AC$58&gt;='CBA Inputs'!$F28,AC$58&lt;='CBA Inputs'!$G28),'CBA Inputs'!$E28/('CBA Inputs'!$G28-'CBA Inputs'!$F28+1),0)*IF(AC$58=0,0,1)*CapitalCost_ACTIVE*AC$55</f>
        <v>0</v>
      </c>
      <c r="AD71" s="17">
        <f>-IF(AND(AD$58&gt;='CBA Inputs'!$F28,AD$58&lt;='CBA Inputs'!$G28),'CBA Inputs'!$E28/('CBA Inputs'!$G28-'CBA Inputs'!$F28+1),0)*IF(AD$58=0,0,1)*CapitalCost_ACTIVE*AD$55</f>
        <v>0</v>
      </c>
      <c r="AE71" s="17">
        <f>-IF(AND(AE$58&gt;='CBA Inputs'!$F28,AE$58&lt;='CBA Inputs'!$G28),'CBA Inputs'!$E28/('CBA Inputs'!$G28-'CBA Inputs'!$F28+1),0)*IF(AE$58=0,0,1)*CapitalCost_ACTIVE*AE$55</f>
        <v>0</v>
      </c>
      <c r="AF71" s="17">
        <f>-IF(AND(AF$58&gt;='CBA Inputs'!$F28,AF$58&lt;='CBA Inputs'!$G28),'CBA Inputs'!$E28/('CBA Inputs'!$G28-'CBA Inputs'!$F28+1),0)*IF(AF$58=0,0,1)*CapitalCost_ACTIVE*AF$55</f>
        <v>0</v>
      </c>
      <c r="AG71" s="17">
        <f>-IF(AND(AG$58&gt;='CBA Inputs'!$F28,AG$58&lt;='CBA Inputs'!$G28),'CBA Inputs'!$E28/('CBA Inputs'!$G28-'CBA Inputs'!$F28+1),0)*IF(AG$58=0,0,1)*CapitalCost_ACTIVE*AG$55</f>
        <v>0</v>
      </c>
      <c r="AH71" s="17">
        <f>-IF(AND(AH$58&gt;='CBA Inputs'!$F28,AH$58&lt;='CBA Inputs'!$G28),'CBA Inputs'!$E28/('CBA Inputs'!$G28-'CBA Inputs'!$F28+1),0)*IF(AH$58=0,0,1)*CapitalCost_ACTIVE*AH$55</f>
        <v>0</v>
      </c>
      <c r="AI71" s="17">
        <f>-IF(AND(AI$58&gt;='CBA Inputs'!$F28,AI$58&lt;='CBA Inputs'!$G28),'CBA Inputs'!$E28/('CBA Inputs'!$G28-'CBA Inputs'!$F28+1),0)*IF(AI$58=0,0,1)*CapitalCost_ACTIVE*AI$55</f>
        <v>0</v>
      </c>
      <c r="AJ71" s="17">
        <f>-IF(AND(AJ$58&gt;='CBA Inputs'!$F28,AJ$58&lt;='CBA Inputs'!$G28),'CBA Inputs'!$E28/('CBA Inputs'!$G28-'CBA Inputs'!$F28+1),0)*IF(AJ$58=0,0,1)*CapitalCost_ACTIVE*AJ$55</f>
        <v>0</v>
      </c>
      <c r="AK71" s="178">
        <f>IFERROR(PMT(DiscountRate_ACTIVE,'CBA Inputs'!I28,'CBA Inputs'!E28),0)</f>
        <v>-67565257.527961761</v>
      </c>
      <c r="AM71" s="24">
        <f>'CBA Inputs'!L28</f>
        <v>8</v>
      </c>
      <c r="AN71" s="24" t="str">
        <f>'CBA Inputs'!M28</f>
        <v>Option 3B</v>
      </c>
      <c r="AO71" s="24" t="str">
        <f>'CBA Inputs'!N28</f>
        <v>Substation</v>
      </c>
      <c r="AP71" s="12" t="s">
        <v>35</v>
      </c>
      <c r="AQ71" s="18">
        <f t="shared" si="29"/>
        <v>-111253058.18252863</v>
      </c>
      <c r="AR71" s="17">
        <f>-IF(AND(G$58&gt;='CBA Inputs'!$P28,G$58&lt;='CBA Inputs'!$Q28),'CBA Inputs'!$O28/('CBA Inputs'!$Q28-'CBA Inputs'!$P28+1),0)*IF(G$58=0,0,1)*CapitalCost_ACTIVE*G$55*IF(Scenario_Select='CBA Inputs'!$T28,1,0)</f>
        <v>0</v>
      </c>
      <c r="AS71" s="17">
        <f>-IF(AND(H$58&gt;='CBA Inputs'!$P28,H$58&lt;='CBA Inputs'!$Q28),'CBA Inputs'!$O28/('CBA Inputs'!$Q28-'CBA Inputs'!$P28+1),0)*IF(H$58=0,0,1)*CapitalCost_ACTIVE*H$55*IF(Scenario_Select='CBA Inputs'!$T28,1,0)</f>
        <v>0</v>
      </c>
      <c r="AT71" s="17">
        <f>-IF(AND(I$58&gt;='CBA Inputs'!$P28,I$58&lt;='CBA Inputs'!$Q28),'CBA Inputs'!$O28/('CBA Inputs'!$Q28-'CBA Inputs'!$P28+1),0)*IF(I$58=0,0,1)*CapitalCost_ACTIVE*I$55*IF(Scenario_Select='CBA Inputs'!$T28,1,0)</f>
        <v>0</v>
      </c>
      <c r="AU71" s="17">
        <f>-IF(AND(J$58&gt;='CBA Inputs'!$P28,J$58&lt;='CBA Inputs'!$Q28),'CBA Inputs'!$O28/('CBA Inputs'!$Q28-'CBA Inputs'!$P28+1),0)*IF(J$58=0,0,1)*CapitalCost_ACTIVE*J$55*IF(Scenario_Select='CBA Inputs'!$T28,1,0)</f>
        <v>0</v>
      </c>
      <c r="AV71" s="17">
        <f>-IF(AND(K$58&gt;='CBA Inputs'!$P28,K$58&lt;='CBA Inputs'!$Q28),'CBA Inputs'!$O28/('CBA Inputs'!$Q28-'CBA Inputs'!$P28+1),0)*IF(K$58=0,0,1)*CapitalCost_ACTIVE*K$55*IF(Scenario_Select='CBA Inputs'!$T28,1,0)</f>
        <v>0</v>
      </c>
      <c r="AW71" s="17">
        <f>-IF(AND(L$58&gt;='CBA Inputs'!$P28,L$58&lt;='CBA Inputs'!$Q28),'CBA Inputs'!$O28/('CBA Inputs'!$Q28-'CBA Inputs'!$P28+1),0)*IF(L$58=0,0,1)*CapitalCost_ACTIVE*L$55*IF(Scenario_Select='CBA Inputs'!$T28,1,0)</f>
        <v>0</v>
      </c>
      <c r="AX71" s="17">
        <f>-IF(AND(M$58&gt;='CBA Inputs'!$P28,M$58&lt;='CBA Inputs'!$Q28),'CBA Inputs'!$O28/('CBA Inputs'!$Q28-'CBA Inputs'!$P28+1),0)*IF(M$58=0,0,1)*CapitalCost_ACTIVE*M$55*IF(Scenario_Select='CBA Inputs'!$T28,1,0)</f>
        <v>0</v>
      </c>
      <c r="AY71" s="17">
        <f>-IF(AND(N$58&gt;='CBA Inputs'!$P28,N$58&lt;='CBA Inputs'!$Q28),'CBA Inputs'!$O28/('CBA Inputs'!$Q28-'CBA Inputs'!$P28+1),0)*IF(N$58=0,0,1)*CapitalCost_ACTIVE*N$55*IF(Scenario_Select='CBA Inputs'!$T28,1,0)</f>
        <v>-55333333.333333336</v>
      </c>
      <c r="AZ71" s="17">
        <f>-IF(AND(O$58&gt;='CBA Inputs'!$P28,O$58&lt;='CBA Inputs'!$Q28),'CBA Inputs'!$O28/('CBA Inputs'!$Q28-'CBA Inputs'!$P28+1),0)*IF(O$58=0,0,1)*CapitalCost_ACTIVE*O$55*IF(Scenario_Select='CBA Inputs'!$T28,1,0)</f>
        <v>-55333333.333333336</v>
      </c>
      <c r="BA71" s="17">
        <f>-IF(AND(P$58&gt;='CBA Inputs'!$P28,P$58&lt;='CBA Inputs'!$Q28),'CBA Inputs'!$O28/('CBA Inputs'!$Q28-'CBA Inputs'!$P28+1),0)*IF(P$58=0,0,1)*CapitalCost_ACTIVE*P$55*IF(Scenario_Select='CBA Inputs'!$T28,1,0)</f>
        <v>-55333333.333333336</v>
      </c>
      <c r="BB71" s="17">
        <f>-IF(AND(Q$58&gt;='CBA Inputs'!$P28,Q$58&lt;='CBA Inputs'!$Q28),'CBA Inputs'!$O28/('CBA Inputs'!$Q28-'CBA Inputs'!$P28+1),0)*IF(Q$58=0,0,1)*CapitalCost_ACTIVE*Q$55*IF(Scenario_Select='CBA Inputs'!$T28,1,0)</f>
        <v>0</v>
      </c>
      <c r="BC71" s="17">
        <f>-IF(AND(R$58&gt;='CBA Inputs'!$P28,R$58&lt;='CBA Inputs'!$Q28),'CBA Inputs'!$O28/('CBA Inputs'!$Q28-'CBA Inputs'!$P28+1),0)*IF(R$58=0,0,1)*CapitalCost_ACTIVE*R$55*IF(Scenario_Select='CBA Inputs'!$T28,1,0)</f>
        <v>0</v>
      </c>
      <c r="BD71" s="17">
        <f>-IF(AND(S$58&gt;='CBA Inputs'!$P28,S$58&lt;='CBA Inputs'!$Q28),'CBA Inputs'!$O28/('CBA Inputs'!$Q28-'CBA Inputs'!$P28+1),0)*IF(S$58=0,0,1)*CapitalCost_ACTIVE*S$55*IF(Scenario_Select='CBA Inputs'!$T28,1,0)</f>
        <v>0</v>
      </c>
      <c r="BE71" s="17">
        <f>-IF(AND(T$58&gt;='CBA Inputs'!$P28,T$58&lt;='CBA Inputs'!$Q28),'CBA Inputs'!$O28/('CBA Inputs'!$Q28-'CBA Inputs'!$P28+1),0)*IF(T$58=0,0,1)*CapitalCost_ACTIVE*T$55*IF(Scenario_Select='CBA Inputs'!$T28,1,0)</f>
        <v>0</v>
      </c>
      <c r="BF71" s="17">
        <f>-IF(AND(U$58&gt;='CBA Inputs'!$P28,U$58&lt;='CBA Inputs'!$Q28),'CBA Inputs'!$O28/('CBA Inputs'!$Q28-'CBA Inputs'!$P28+1),0)*IF(U$58=0,0,1)*CapitalCost_ACTIVE*U$55*IF(Scenario_Select='CBA Inputs'!$T28,1,0)</f>
        <v>0</v>
      </c>
      <c r="BG71" s="17">
        <f>-IF(AND(V$58&gt;='CBA Inputs'!$P28,V$58&lt;='CBA Inputs'!$Q28),'CBA Inputs'!$O28/('CBA Inputs'!$Q28-'CBA Inputs'!$P28+1),0)*IF(V$58=0,0,1)*CapitalCost_ACTIVE*V$55*IF(Scenario_Select='CBA Inputs'!$T28,1,0)</f>
        <v>0</v>
      </c>
      <c r="BH71" s="17">
        <f>-IF(AND(W$58&gt;='CBA Inputs'!$P28,W$58&lt;='CBA Inputs'!$Q28),'CBA Inputs'!$O28/('CBA Inputs'!$Q28-'CBA Inputs'!$P28+1),0)*IF(W$58=0,0,1)*CapitalCost_ACTIVE*W$55*IF(Scenario_Select='CBA Inputs'!$T28,1,0)</f>
        <v>0</v>
      </c>
      <c r="BI71" s="17">
        <f>-IF(AND(X$58&gt;='CBA Inputs'!$P28,X$58&lt;='CBA Inputs'!$Q28),'CBA Inputs'!$O28/('CBA Inputs'!$Q28-'CBA Inputs'!$P28+1),0)*IF(X$58=0,0,1)*CapitalCost_ACTIVE*X$55*IF(Scenario_Select='CBA Inputs'!$T28,1,0)</f>
        <v>0</v>
      </c>
      <c r="BJ71" s="17">
        <f>-IF(AND(Y$58&gt;='CBA Inputs'!$P28,Y$58&lt;='CBA Inputs'!$Q28),'CBA Inputs'!$O28/('CBA Inputs'!$Q28-'CBA Inputs'!$P28+1),0)*IF(Y$58=0,0,1)*CapitalCost_ACTIVE*Y$55*IF(Scenario_Select='CBA Inputs'!$T28,1,0)</f>
        <v>0</v>
      </c>
      <c r="BK71" s="17">
        <f>-IF(AND(Z$58&gt;='CBA Inputs'!$P28,Z$58&lt;='CBA Inputs'!$Q28),'CBA Inputs'!$O28/('CBA Inputs'!$Q28-'CBA Inputs'!$P28+1),0)*IF(Z$58=0,0,1)*CapitalCost_ACTIVE*Z$55*IF(Scenario_Select='CBA Inputs'!$T28,1,0)</f>
        <v>0</v>
      </c>
      <c r="BL71" s="17">
        <f>-IF(AND(AA$58&gt;='CBA Inputs'!$P28,AA$58&lt;='CBA Inputs'!$Q28),'CBA Inputs'!$O28/('CBA Inputs'!$Q28-'CBA Inputs'!$P28+1),0)*IF(AA$58=0,0,1)*CapitalCost_ACTIVE*AA$55*IF(Scenario_Select='CBA Inputs'!$T28,1,0)</f>
        <v>0</v>
      </c>
      <c r="BM71" s="17">
        <f>-IF(AND(AB$58&gt;='CBA Inputs'!$P28,AB$58&lt;='CBA Inputs'!$Q28),'CBA Inputs'!$O28/('CBA Inputs'!$Q28-'CBA Inputs'!$P28+1),0)*IF(AB$58=0,0,1)*CapitalCost_ACTIVE*AB$55*IF(Scenario_Select='CBA Inputs'!$T28,1,0)</f>
        <v>0</v>
      </c>
      <c r="BN71" s="17">
        <f>-IF(AND(AC$58&gt;='CBA Inputs'!$P28,AC$58&lt;='CBA Inputs'!$Q28),'CBA Inputs'!$O28/('CBA Inputs'!$Q28-'CBA Inputs'!$P28+1),0)*IF(AC$58=0,0,1)*CapitalCost_ACTIVE*AC$55*IF(Scenario_Select='CBA Inputs'!$T28,1,0)</f>
        <v>0</v>
      </c>
      <c r="BO71" s="17">
        <f>-IF(AND(AD$58&gt;='CBA Inputs'!$P28,AD$58&lt;='CBA Inputs'!$Q28),'CBA Inputs'!$O28/('CBA Inputs'!$Q28-'CBA Inputs'!$P28+1),0)*IF(AD$58=0,0,1)*CapitalCost_ACTIVE*AD$55*IF(Scenario_Select='CBA Inputs'!$T28,1,0)</f>
        <v>0</v>
      </c>
      <c r="BP71" s="17">
        <f>-IF(AND(AE$58&gt;='CBA Inputs'!$P28,AE$58&lt;='CBA Inputs'!$Q28),'CBA Inputs'!$O28/('CBA Inputs'!$Q28-'CBA Inputs'!$P28+1),0)*IF(AE$58=0,0,1)*CapitalCost_ACTIVE*AE$55*IF(Scenario_Select='CBA Inputs'!$T28,1,0)</f>
        <v>0</v>
      </c>
      <c r="BQ71" s="17">
        <f>-IF(AND(AF$58&gt;='CBA Inputs'!$P28,AF$58&lt;='CBA Inputs'!$Q28),'CBA Inputs'!$O28/('CBA Inputs'!$Q28-'CBA Inputs'!$P28+1),0)*IF(AF$58=0,0,1)*CapitalCost_ACTIVE*AF$55*IF(Scenario_Select='CBA Inputs'!$T28,1,0)</f>
        <v>0</v>
      </c>
      <c r="BR71" s="17">
        <f>-IF(AND(AG$58&gt;='CBA Inputs'!$P28,AG$58&lt;='CBA Inputs'!$Q28),'CBA Inputs'!$O28/('CBA Inputs'!$Q28-'CBA Inputs'!$P28+1),0)*IF(AG$58=0,0,1)*CapitalCost_ACTIVE*AG$55*IF(Scenario_Select='CBA Inputs'!$T28,1,0)</f>
        <v>0</v>
      </c>
      <c r="BS71" s="17">
        <f>-IF(AND(AH$58&gt;='CBA Inputs'!$P28,AH$58&lt;='CBA Inputs'!$Q28),'CBA Inputs'!$O28/('CBA Inputs'!$Q28-'CBA Inputs'!$P28+1),0)*IF(AH$58=0,0,1)*CapitalCost_ACTIVE*AH$55*IF(Scenario_Select='CBA Inputs'!$T28,1,0)</f>
        <v>0</v>
      </c>
      <c r="BT71" s="17">
        <f>-IF(AND(AI$58&gt;='CBA Inputs'!$P28,AI$58&lt;='CBA Inputs'!$Q28),'CBA Inputs'!$O28/('CBA Inputs'!$Q28-'CBA Inputs'!$P28+1),0)*IF(AI$58=0,0,1)*CapitalCost_ACTIVE*AI$55*IF(Scenario_Select='CBA Inputs'!$T28,1,0)</f>
        <v>0</v>
      </c>
      <c r="BU71" s="17">
        <f>-IF(AND(AJ$58&gt;='CBA Inputs'!$P28,AJ$58&lt;='CBA Inputs'!$Q28),'CBA Inputs'!$O28/('CBA Inputs'!$Q28-'CBA Inputs'!$P28+1),0)*IF(AJ$58=0,0,1)*CapitalCost_ACTIVE*AJ$55*IF(Scenario_Select='CBA Inputs'!$T28,1,0)</f>
        <v>0</v>
      </c>
      <c r="BV71" s="178">
        <f>IFERROR(PMT(DiscountRate_ACTIVE,'CBA Inputs'!S28,'CBA Inputs'!O28),0)*IF(Scenario_Select='CBA Inputs'!$T28,1,0)</f>
        <v>-10893876.838680645</v>
      </c>
    </row>
    <row r="72" spans="1:74" x14ac:dyDescent="0.35">
      <c r="A72" s="134"/>
      <c r="B72" s="24">
        <f>+'CBA Inputs'!B29</f>
        <v>5</v>
      </c>
      <c r="C72" s="25" t="str">
        <f>+'CBA Inputs'!C29</f>
        <v>Option 2B</v>
      </c>
      <c r="D72" s="25" t="str">
        <f>'CBA Inputs'!D29</f>
        <v>Substation</v>
      </c>
      <c r="E72" s="12" t="s">
        <v>35</v>
      </c>
      <c r="F72" s="18">
        <f t="shared" si="28"/>
        <v>-297814460.64278698</v>
      </c>
      <c r="G72" s="17">
        <f>-IF(AND(G$58&gt;='CBA Inputs'!$F29,G$58&lt;='CBA Inputs'!$G29),'CBA Inputs'!$E29/('CBA Inputs'!$G29-'CBA Inputs'!$F29+1),0)*IF(G$58=0,0,1)*CapitalCost_ACTIVE*G$55</f>
        <v>0</v>
      </c>
      <c r="H72" s="17">
        <f>-IF(AND(H$58&gt;='CBA Inputs'!$F29,H$58&lt;='CBA Inputs'!$G29),'CBA Inputs'!$E29/('CBA Inputs'!$G29-'CBA Inputs'!$F29+1),0)*IF(H$58=0,0,1)*CapitalCost_ACTIVE*H$55</f>
        <v>-85750000</v>
      </c>
      <c r="I72" s="17">
        <f>-IF(AND(I$58&gt;='CBA Inputs'!$F29,I$58&lt;='CBA Inputs'!$G29),'CBA Inputs'!$E29/('CBA Inputs'!$G29-'CBA Inputs'!$F29+1),0)*IF(I$58=0,0,1)*CapitalCost_ACTIVE*I$55</f>
        <v>-85750000</v>
      </c>
      <c r="J72" s="17">
        <f>-IF(AND(J$58&gt;='CBA Inputs'!$F29,J$58&lt;='CBA Inputs'!$G29),'CBA Inputs'!$E29/('CBA Inputs'!$G29-'CBA Inputs'!$F29+1),0)*IF(J$58=0,0,1)*CapitalCost_ACTIVE*J$55</f>
        <v>-85750000</v>
      </c>
      <c r="K72" s="17">
        <f>-IF(AND(K$58&gt;='CBA Inputs'!$F29,K$58&lt;='CBA Inputs'!$G29),'CBA Inputs'!$E29/('CBA Inputs'!$G29-'CBA Inputs'!$F29+1),0)*IF(K$58=0,0,1)*CapitalCost_ACTIVE*K$55</f>
        <v>-85750000</v>
      </c>
      <c r="L72" s="17">
        <f>-IF(AND(L$58&gt;='CBA Inputs'!$F29,L$58&lt;='CBA Inputs'!$G29),'CBA Inputs'!$E29/('CBA Inputs'!$G29-'CBA Inputs'!$F29+1),0)*IF(L$58=0,0,1)*CapitalCost_ACTIVE*L$55</f>
        <v>0</v>
      </c>
      <c r="M72" s="17">
        <f>-IF(AND(M$58&gt;='CBA Inputs'!$F29,M$58&lt;='CBA Inputs'!$G29),'CBA Inputs'!$E29/('CBA Inputs'!$G29-'CBA Inputs'!$F29+1),0)*IF(M$58=0,0,1)*CapitalCost_ACTIVE*M$55</f>
        <v>0</v>
      </c>
      <c r="N72" s="17">
        <f>-IF(AND(N$58&gt;='CBA Inputs'!$F29,N$58&lt;='CBA Inputs'!$G29),'CBA Inputs'!$E29/('CBA Inputs'!$G29-'CBA Inputs'!$F29+1),0)*IF(N$58=0,0,1)*CapitalCost_ACTIVE*N$55</f>
        <v>0</v>
      </c>
      <c r="O72" s="17">
        <f>-IF(AND(O$58&gt;='CBA Inputs'!$F29,O$58&lt;='CBA Inputs'!$G29),'CBA Inputs'!$E29/('CBA Inputs'!$G29-'CBA Inputs'!$F29+1),0)*IF(O$58=0,0,1)*CapitalCost_ACTIVE*O$55</f>
        <v>0</v>
      </c>
      <c r="P72" s="17">
        <f>-IF(AND(P$58&gt;='CBA Inputs'!$F29,P$58&lt;='CBA Inputs'!$G29),'CBA Inputs'!$E29/('CBA Inputs'!$G29-'CBA Inputs'!$F29+1),0)*IF(P$58=0,0,1)*CapitalCost_ACTIVE*P$55</f>
        <v>0</v>
      </c>
      <c r="Q72" s="17">
        <f>-IF(AND(Q$58&gt;='CBA Inputs'!$F29,Q$58&lt;='CBA Inputs'!$G29),'CBA Inputs'!$E29/('CBA Inputs'!$G29-'CBA Inputs'!$F29+1),0)*IF(Q$58=0,0,1)*CapitalCost_ACTIVE*Q$55</f>
        <v>0</v>
      </c>
      <c r="R72" s="17">
        <f>-IF(AND(R$58&gt;='CBA Inputs'!$F29,R$58&lt;='CBA Inputs'!$G29),'CBA Inputs'!$E29/('CBA Inputs'!$G29-'CBA Inputs'!$F29+1),0)*IF(R$58=0,0,1)*CapitalCost_ACTIVE*R$55</f>
        <v>0</v>
      </c>
      <c r="S72" s="17">
        <f>-IF(AND(S$58&gt;='CBA Inputs'!$F29,S$58&lt;='CBA Inputs'!$G29),'CBA Inputs'!$E29/('CBA Inputs'!$G29-'CBA Inputs'!$F29+1),0)*IF(S$58=0,0,1)*CapitalCost_ACTIVE*S$55</f>
        <v>0</v>
      </c>
      <c r="T72" s="17">
        <f>-IF(AND(T$58&gt;='CBA Inputs'!$F29,T$58&lt;='CBA Inputs'!$G29),'CBA Inputs'!$E29/('CBA Inputs'!$G29-'CBA Inputs'!$F29+1),0)*IF(T$58=0,0,1)*CapitalCost_ACTIVE*T$55</f>
        <v>0</v>
      </c>
      <c r="U72" s="17">
        <f>-IF(AND(U$58&gt;='CBA Inputs'!$F29,U$58&lt;='CBA Inputs'!$G29),'CBA Inputs'!$E29/('CBA Inputs'!$G29-'CBA Inputs'!$F29+1),0)*IF(U$58=0,0,1)*CapitalCost_ACTIVE*U$55</f>
        <v>0</v>
      </c>
      <c r="V72" s="17">
        <f>-IF(AND(V$58&gt;='CBA Inputs'!$F29,V$58&lt;='CBA Inputs'!$G29),'CBA Inputs'!$E29/('CBA Inputs'!$G29-'CBA Inputs'!$F29+1),0)*IF(V$58=0,0,1)*CapitalCost_ACTIVE*V$55</f>
        <v>0</v>
      </c>
      <c r="W72" s="17">
        <f>-IF(AND(W$58&gt;='CBA Inputs'!$F29,W$58&lt;='CBA Inputs'!$G29),'CBA Inputs'!$E29/('CBA Inputs'!$G29-'CBA Inputs'!$F29+1),0)*IF(W$58=0,0,1)*CapitalCost_ACTIVE*W$55</f>
        <v>0</v>
      </c>
      <c r="X72" s="17">
        <f>-IF(AND(X$58&gt;='CBA Inputs'!$F29,X$58&lt;='CBA Inputs'!$G29),'CBA Inputs'!$E29/('CBA Inputs'!$G29-'CBA Inputs'!$F29+1),0)*IF(X$58=0,0,1)*CapitalCost_ACTIVE*X$55</f>
        <v>0</v>
      </c>
      <c r="Y72" s="17">
        <f>-IF(AND(Y$58&gt;='CBA Inputs'!$F29,Y$58&lt;='CBA Inputs'!$G29),'CBA Inputs'!$E29/('CBA Inputs'!$G29-'CBA Inputs'!$F29+1),0)*IF(Y$58=0,0,1)*CapitalCost_ACTIVE*Y$55</f>
        <v>0</v>
      </c>
      <c r="Z72" s="17">
        <f>-IF(AND(Z$58&gt;='CBA Inputs'!$F29,Z$58&lt;='CBA Inputs'!$G29),'CBA Inputs'!$E29/('CBA Inputs'!$G29-'CBA Inputs'!$F29+1),0)*IF(Z$58=0,0,1)*CapitalCost_ACTIVE*Z$55</f>
        <v>0</v>
      </c>
      <c r="AA72" s="17">
        <f>-IF(AND(AA$58&gt;='CBA Inputs'!$F29,AA$58&lt;='CBA Inputs'!$G29),'CBA Inputs'!$E29/('CBA Inputs'!$G29-'CBA Inputs'!$F29+1),0)*IF(AA$58=0,0,1)*CapitalCost_ACTIVE*AA$55</f>
        <v>0</v>
      </c>
      <c r="AB72" s="17">
        <f>-IF(AND(AB$58&gt;='CBA Inputs'!$F29,AB$58&lt;='CBA Inputs'!$G29),'CBA Inputs'!$E29/('CBA Inputs'!$G29-'CBA Inputs'!$F29+1),0)*IF(AB$58=0,0,1)*CapitalCost_ACTIVE*AB$55</f>
        <v>0</v>
      </c>
      <c r="AC72" s="17">
        <f>-IF(AND(AC$58&gt;='CBA Inputs'!$F29,AC$58&lt;='CBA Inputs'!$G29),'CBA Inputs'!$E29/('CBA Inputs'!$G29-'CBA Inputs'!$F29+1),0)*IF(AC$58=0,0,1)*CapitalCost_ACTIVE*AC$55</f>
        <v>0</v>
      </c>
      <c r="AD72" s="17">
        <f>-IF(AND(AD$58&gt;='CBA Inputs'!$F29,AD$58&lt;='CBA Inputs'!$G29),'CBA Inputs'!$E29/('CBA Inputs'!$G29-'CBA Inputs'!$F29+1),0)*IF(AD$58=0,0,1)*CapitalCost_ACTIVE*AD$55</f>
        <v>0</v>
      </c>
      <c r="AE72" s="17">
        <f>-IF(AND(AE$58&gt;='CBA Inputs'!$F29,AE$58&lt;='CBA Inputs'!$G29),'CBA Inputs'!$E29/('CBA Inputs'!$G29-'CBA Inputs'!$F29+1),0)*IF(AE$58=0,0,1)*CapitalCost_ACTIVE*AE$55</f>
        <v>0</v>
      </c>
      <c r="AF72" s="17">
        <f>-IF(AND(AF$58&gt;='CBA Inputs'!$F29,AF$58&lt;='CBA Inputs'!$G29),'CBA Inputs'!$E29/('CBA Inputs'!$G29-'CBA Inputs'!$F29+1),0)*IF(AF$58=0,0,1)*CapitalCost_ACTIVE*AF$55</f>
        <v>0</v>
      </c>
      <c r="AG72" s="17">
        <f>-IF(AND(AG$58&gt;='CBA Inputs'!$F29,AG$58&lt;='CBA Inputs'!$G29),'CBA Inputs'!$E29/('CBA Inputs'!$G29-'CBA Inputs'!$F29+1),0)*IF(AG$58=0,0,1)*CapitalCost_ACTIVE*AG$55</f>
        <v>0</v>
      </c>
      <c r="AH72" s="17">
        <f>-IF(AND(AH$58&gt;='CBA Inputs'!$F29,AH$58&lt;='CBA Inputs'!$G29),'CBA Inputs'!$E29/('CBA Inputs'!$G29-'CBA Inputs'!$F29+1),0)*IF(AH$58=0,0,1)*CapitalCost_ACTIVE*AH$55</f>
        <v>0</v>
      </c>
      <c r="AI72" s="17">
        <f>-IF(AND(AI$58&gt;='CBA Inputs'!$F29,AI$58&lt;='CBA Inputs'!$G29),'CBA Inputs'!$E29/('CBA Inputs'!$G29-'CBA Inputs'!$F29+1),0)*IF(AI$58=0,0,1)*CapitalCost_ACTIVE*AI$55</f>
        <v>0</v>
      </c>
      <c r="AJ72" s="17">
        <f>-IF(AND(AJ$58&gt;='CBA Inputs'!$F29,AJ$58&lt;='CBA Inputs'!$G29),'CBA Inputs'!$E29/('CBA Inputs'!$G29-'CBA Inputs'!$F29+1),0)*IF(AJ$58=0,0,1)*CapitalCost_ACTIVE*AJ$55</f>
        <v>0</v>
      </c>
      <c r="AK72" s="178">
        <f>IFERROR(PMT(DiscountRate_ACTIVE,'CBA Inputs'!I29,'CBA Inputs'!E29),0)</f>
        <v>-22509637.082334109</v>
      </c>
      <c r="AM72" s="24">
        <f>'CBA Inputs'!L29</f>
        <v>8</v>
      </c>
      <c r="AN72" s="24" t="str">
        <f>'CBA Inputs'!M29</f>
        <v>Option 3B</v>
      </c>
      <c r="AO72" s="24" t="str">
        <f>'CBA Inputs'!N29</f>
        <v>Substation</v>
      </c>
      <c r="AP72" s="12" t="s">
        <v>35</v>
      </c>
      <c r="AQ72" s="18">
        <f t="shared" si="29"/>
        <v>0</v>
      </c>
      <c r="AR72" s="17">
        <f>-IF(AND(G$58&gt;='CBA Inputs'!$P29,G$58&lt;='CBA Inputs'!$Q29),'CBA Inputs'!$O29/('CBA Inputs'!$Q29-'CBA Inputs'!$P29+1),0)*IF(G$58=0,0,1)*CapitalCost_ACTIVE*G$55*IF(Scenario_Select='CBA Inputs'!$T29,1,0)</f>
        <v>0</v>
      </c>
      <c r="AS72" s="17">
        <f>-IF(AND(H$58&gt;='CBA Inputs'!$P29,H$58&lt;='CBA Inputs'!$Q29),'CBA Inputs'!$O29/('CBA Inputs'!$Q29-'CBA Inputs'!$P29+1),0)*IF(H$58=0,0,1)*CapitalCost_ACTIVE*H$55*IF(Scenario_Select='CBA Inputs'!$T29,1,0)</f>
        <v>0</v>
      </c>
      <c r="AT72" s="17">
        <f>-IF(AND(I$58&gt;='CBA Inputs'!$P29,I$58&lt;='CBA Inputs'!$Q29),'CBA Inputs'!$O29/('CBA Inputs'!$Q29-'CBA Inputs'!$P29+1),0)*IF(I$58=0,0,1)*CapitalCost_ACTIVE*I$55*IF(Scenario_Select='CBA Inputs'!$T29,1,0)</f>
        <v>0</v>
      </c>
      <c r="AU72" s="17">
        <f>-IF(AND(J$58&gt;='CBA Inputs'!$P29,J$58&lt;='CBA Inputs'!$Q29),'CBA Inputs'!$O29/('CBA Inputs'!$Q29-'CBA Inputs'!$P29+1),0)*IF(J$58=0,0,1)*CapitalCost_ACTIVE*J$55*IF(Scenario_Select='CBA Inputs'!$T29,1,0)</f>
        <v>0</v>
      </c>
      <c r="AV72" s="17">
        <f>-IF(AND(K$58&gt;='CBA Inputs'!$P29,K$58&lt;='CBA Inputs'!$Q29),'CBA Inputs'!$O29/('CBA Inputs'!$Q29-'CBA Inputs'!$P29+1),0)*IF(K$58=0,0,1)*CapitalCost_ACTIVE*K$55*IF(Scenario_Select='CBA Inputs'!$T29,1,0)</f>
        <v>0</v>
      </c>
      <c r="AW72" s="17">
        <f>-IF(AND(L$58&gt;='CBA Inputs'!$P29,L$58&lt;='CBA Inputs'!$Q29),'CBA Inputs'!$O29/('CBA Inputs'!$Q29-'CBA Inputs'!$P29+1),0)*IF(L$58=0,0,1)*CapitalCost_ACTIVE*L$55*IF(Scenario_Select='CBA Inputs'!$T29,1,0)</f>
        <v>0</v>
      </c>
      <c r="AX72" s="17">
        <f>-IF(AND(M$58&gt;='CBA Inputs'!$P29,M$58&lt;='CBA Inputs'!$Q29),'CBA Inputs'!$O29/('CBA Inputs'!$Q29-'CBA Inputs'!$P29+1),0)*IF(M$58=0,0,1)*CapitalCost_ACTIVE*M$55*IF(Scenario_Select='CBA Inputs'!$T29,1,0)</f>
        <v>0</v>
      </c>
      <c r="AY72" s="17">
        <f>-IF(AND(N$58&gt;='CBA Inputs'!$P29,N$58&lt;='CBA Inputs'!$Q29),'CBA Inputs'!$O29/('CBA Inputs'!$Q29-'CBA Inputs'!$P29+1),0)*IF(N$58=0,0,1)*CapitalCost_ACTIVE*N$55*IF(Scenario_Select='CBA Inputs'!$T29,1,0)</f>
        <v>0</v>
      </c>
      <c r="AZ72" s="17">
        <f>-IF(AND(O$58&gt;='CBA Inputs'!$P29,O$58&lt;='CBA Inputs'!$Q29),'CBA Inputs'!$O29/('CBA Inputs'!$Q29-'CBA Inputs'!$P29+1),0)*IF(O$58=0,0,1)*CapitalCost_ACTIVE*O$55*IF(Scenario_Select='CBA Inputs'!$T29,1,0)</f>
        <v>0</v>
      </c>
      <c r="BA72" s="17">
        <f>-IF(AND(P$58&gt;='CBA Inputs'!$P29,P$58&lt;='CBA Inputs'!$Q29),'CBA Inputs'!$O29/('CBA Inputs'!$Q29-'CBA Inputs'!$P29+1),0)*IF(P$58=0,0,1)*CapitalCost_ACTIVE*P$55*IF(Scenario_Select='CBA Inputs'!$T29,1,0)</f>
        <v>0</v>
      </c>
      <c r="BB72" s="17">
        <f>-IF(AND(Q$58&gt;='CBA Inputs'!$P29,Q$58&lt;='CBA Inputs'!$Q29),'CBA Inputs'!$O29/('CBA Inputs'!$Q29-'CBA Inputs'!$P29+1),0)*IF(Q$58=0,0,1)*CapitalCost_ACTIVE*Q$55*IF(Scenario_Select='CBA Inputs'!$T29,1,0)</f>
        <v>0</v>
      </c>
      <c r="BC72" s="17">
        <f>-IF(AND(R$58&gt;='CBA Inputs'!$P29,R$58&lt;='CBA Inputs'!$Q29),'CBA Inputs'!$O29/('CBA Inputs'!$Q29-'CBA Inputs'!$P29+1),0)*IF(R$58=0,0,1)*CapitalCost_ACTIVE*R$55*IF(Scenario_Select='CBA Inputs'!$T29,1,0)</f>
        <v>0</v>
      </c>
      <c r="BD72" s="17">
        <f>-IF(AND(S$58&gt;='CBA Inputs'!$P29,S$58&lt;='CBA Inputs'!$Q29),'CBA Inputs'!$O29/('CBA Inputs'!$Q29-'CBA Inputs'!$P29+1),0)*IF(S$58=0,0,1)*CapitalCost_ACTIVE*S$55*IF(Scenario_Select='CBA Inputs'!$T29,1,0)</f>
        <v>0</v>
      </c>
      <c r="BE72" s="17">
        <f>-IF(AND(T$58&gt;='CBA Inputs'!$P29,T$58&lt;='CBA Inputs'!$Q29),'CBA Inputs'!$O29/('CBA Inputs'!$Q29-'CBA Inputs'!$P29+1),0)*IF(T$58=0,0,1)*CapitalCost_ACTIVE*T$55*IF(Scenario_Select='CBA Inputs'!$T29,1,0)</f>
        <v>0</v>
      </c>
      <c r="BF72" s="17">
        <f>-IF(AND(U$58&gt;='CBA Inputs'!$P29,U$58&lt;='CBA Inputs'!$Q29),'CBA Inputs'!$O29/('CBA Inputs'!$Q29-'CBA Inputs'!$P29+1),0)*IF(U$58=0,0,1)*CapitalCost_ACTIVE*U$55*IF(Scenario_Select='CBA Inputs'!$T29,1,0)</f>
        <v>0</v>
      </c>
      <c r="BG72" s="17">
        <f>-IF(AND(V$58&gt;='CBA Inputs'!$P29,V$58&lt;='CBA Inputs'!$Q29),'CBA Inputs'!$O29/('CBA Inputs'!$Q29-'CBA Inputs'!$P29+1),0)*IF(V$58=0,0,1)*CapitalCost_ACTIVE*V$55*IF(Scenario_Select='CBA Inputs'!$T29,1,0)</f>
        <v>0</v>
      </c>
      <c r="BH72" s="17">
        <f>-IF(AND(W$58&gt;='CBA Inputs'!$P29,W$58&lt;='CBA Inputs'!$Q29),'CBA Inputs'!$O29/('CBA Inputs'!$Q29-'CBA Inputs'!$P29+1),0)*IF(W$58=0,0,1)*CapitalCost_ACTIVE*W$55*IF(Scenario_Select='CBA Inputs'!$T29,1,0)</f>
        <v>0</v>
      </c>
      <c r="BI72" s="17">
        <f>-IF(AND(X$58&gt;='CBA Inputs'!$P29,X$58&lt;='CBA Inputs'!$Q29),'CBA Inputs'!$O29/('CBA Inputs'!$Q29-'CBA Inputs'!$P29+1),0)*IF(X$58=0,0,1)*CapitalCost_ACTIVE*X$55*IF(Scenario_Select='CBA Inputs'!$T29,1,0)</f>
        <v>0</v>
      </c>
      <c r="BJ72" s="17">
        <f>-IF(AND(Y$58&gt;='CBA Inputs'!$P29,Y$58&lt;='CBA Inputs'!$Q29),'CBA Inputs'!$O29/('CBA Inputs'!$Q29-'CBA Inputs'!$P29+1),0)*IF(Y$58=0,0,1)*CapitalCost_ACTIVE*Y$55*IF(Scenario_Select='CBA Inputs'!$T29,1,0)</f>
        <v>0</v>
      </c>
      <c r="BK72" s="17">
        <f>-IF(AND(Z$58&gt;='CBA Inputs'!$P29,Z$58&lt;='CBA Inputs'!$Q29),'CBA Inputs'!$O29/('CBA Inputs'!$Q29-'CBA Inputs'!$P29+1),0)*IF(Z$58=0,0,1)*CapitalCost_ACTIVE*Z$55*IF(Scenario_Select='CBA Inputs'!$T29,1,0)</f>
        <v>0</v>
      </c>
      <c r="BL72" s="17">
        <f>-IF(AND(AA$58&gt;='CBA Inputs'!$P29,AA$58&lt;='CBA Inputs'!$Q29),'CBA Inputs'!$O29/('CBA Inputs'!$Q29-'CBA Inputs'!$P29+1),0)*IF(AA$58=0,0,1)*CapitalCost_ACTIVE*AA$55*IF(Scenario_Select='CBA Inputs'!$T29,1,0)</f>
        <v>0</v>
      </c>
      <c r="BM72" s="17">
        <f>-IF(AND(AB$58&gt;='CBA Inputs'!$P29,AB$58&lt;='CBA Inputs'!$Q29),'CBA Inputs'!$O29/('CBA Inputs'!$Q29-'CBA Inputs'!$P29+1),0)*IF(AB$58=0,0,1)*CapitalCost_ACTIVE*AB$55*IF(Scenario_Select='CBA Inputs'!$T29,1,0)</f>
        <v>0</v>
      </c>
      <c r="BN72" s="17">
        <f>-IF(AND(AC$58&gt;='CBA Inputs'!$P29,AC$58&lt;='CBA Inputs'!$Q29),'CBA Inputs'!$O29/('CBA Inputs'!$Q29-'CBA Inputs'!$P29+1),0)*IF(AC$58=0,0,1)*CapitalCost_ACTIVE*AC$55*IF(Scenario_Select='CBA Inputs'!$T29,1,0)</f>
        <v>0</v>
      </c>
      <c r="BO72" s="17">
        <f>-IF(AND(AD$58&gt;='CBA Inputs'!$P29,AD$58&lt;='CBA Inputs'!$Q29),'CBA Inputs'!$O29/('CBA Inputs'!$Q29-'CBA Inputs'!$P29+1),0)*IF(AD$58=0,0,1)*CapitalCost_ACTIVE*AD$55*IF(Scenario_Select='CBA Inputs'!$T29,1,0)</f>
        <v>0</v>
      </c>
      <c r="BP72" s="17">
        <f>-IF(AND(AE$58&gt;='CBA Inputs'!$P29,AE$58&lt;='CBA Inputs'!$Q29),'CBA Inputs'!$O29/('CBA Inputs'!$Q29-'CBA Inputs'!$P29+1),0)*IF(AE$58=0,0,1)*CapitalCost_ACTIVE*AE$55*IF(Scenario_Select='CBA Inputs'!$T29,1,0)</f>
        <v>0</v>
      </c>
      <c r="BQ72" s="17">
        <f>-IF(AND(AF$58&gt;='CBA Inputs'!$P29,AF$58&lt;='CBA Inputs'!$Q29),'CBA Inputs'!$O29/('CBA Inputs'!$Q29-'CBA Inputs'!$P29+1),0)*IF(AF$58=0,0,1)*CapitalCost_ACTIVE*AF$55*IF(Scenario_Select='CBA Inputs'!$T29,1,0)</f>
        <v>0</v>
      </c>
      <c r="BR72" s="17">
        <f>-IF(AND(AG$58&gt;='CBA Inputs'!$P29,AG$58&lt;='CBA Inputs'!$Q29),'CBA Inputs'!$O29/('CBA Inputs'!$Q29-'CBA Inputs'!$P29+1),0)*IF(AG$58=0,0,1)*CapitalCost_ACTIVE*AG$55*IF(Scenario_Select='CBA Inputs'!$T29,1,0)</f>
        <v>0</v>
      </c>
      <c r="BS72" s="17">
        <f>-IF(AND(AH$58&gt;='CBA Inputs'!$P29,AH$58&lt;='CBA Inputs'!$Q29),'CBA Inputs'!$O29/('CBA Inputs'!$Q29-'CBA Inputs'!$P29+1),0)*IF(AH$58=0,0,1)*CapitalCost_ACTIVE*AH$55*IF(Scenario_Select='CBA Inputs'!$T29,1,0)</f>
        <v>0</v>
      </c>
      <c r="BT72" s="17">
        <f>-IF(AND(AI$58&gt;='CBA Inputs'!$P29,AI$58&lt;='CBA Inputs'!$Q29),'CBA Inputs'!$O29/('CBA Inputs'!$Q29-'CBA Inputs'!$P29+1),0)*IF(AI$58=0,0,1)*CapitalCost_ACTIVE*AI$55*IF(Scenario_Select='CBA Inputs'!$T29,1,0)</f>
        <v>0</v>
      </c>
      <c r="BU72" s="17">
        <f>-IF(AND(AJ$58&gt;='CBA Inputs'!$P29,AJ$58&lt;='CBA Inputs'!$Q29),'CBA Inputs'!$O29/('CBA Inputs'!$Q29-'CBA Inputs'!$P29+1),0)*IF(AJ$58=0,0,1)*CapitalCost_ACTIVE*AJ$55*IF(Scenario_Select='CBA Inputs'!$T29,1,0)</f>
        <v>0</v>
      </c>
      <c r="BV72" s="178">
        <f>IFERROR(PMT(DiscountRate_ACTIVE,'CBA Inputs'!S29,'CBA Inputs'!O29),0)*IF(Scenario_Select='CBA Inputs'!$T29,1,0)</f>
        <v>0</v>
      </c>
    </row>
    <row r="73" spans="1:74" x14ac:dyDescent="0.35">
      <c r="A73" s="134"/>
      <c r="B73" s="24">
        <f>+'CBA Inputs'!B30</f>
        <v>6</v>
      </c>
      <c r="C73" s="25" t="str">
        <f>+'CBA Inputs'!C30</f>
        <v>Option 2C</v>
      </c>
      <c r="D73" s="25" t="str">
        <f>'CBA Inputs'!D30</f>
        <v>Lines</v>
      </c>
      <c r="E73" s="12" t="s">
        <v>35</v>
      </c>
      <c r="F73" s="18">
        <f t="shared" si="28"/>
        <v>-937724832.34463549</v>
      </c>
      <c r="G73" s="17">
        <f>-IF(AND(G$58&gt;='CBA Inputs'!$F30,G$58&lt;='CBA Inputs'!$G30),'CBA Inputs'!$E30/('CBA Inputs'!$G30-'CBA Inputs'!$F30+1),0)*IF(G$58=0,0,1)*CapitalCost_ACTIVE*G$55</f>
        <v>0</v>
      </c>
      <c r="H73" s="17">
        <f>-IF(AND(H$58&gt;='CBA Inputs'!$F30,H$58&lt;='CBA Inputs'!$G30),'CBA Inputs'!$E30/('CBA Inputs'!$G30-'CBA Inputs'!$F30+1),0)*IF(H$58=0,0,1)*CapitalCost_ACTIVE*H$55</f>
        <v>-270000000</v>
      </c>
      <c r="I73" s="17">
        <f>-IF(AND(I$58&gt;='CBA Inputs'!$F30,I$58&lt;='CBA Inputs'!$G30),'CBA Inputs'!$E30/('CBA Inputs'!$G30-'CBA Inputs'!$F30+1),0)*IF(I$58=0,0,1)*CapitalCost_ACTIVE*I$55</f>
        <v>-270000000</v>
      </c>
      <c r="J73" s="17">
        <f>-IF(AND(J$58&gt;='CBA Inputs'!$F30,J$58&lt;='CBA Inputs'!$G30),'CBA Inputs'!$E30/('CBA Inputs'!$G30-'CBA Inputs'!$F30+1),0)*IF(J$58=0,0,1)*CapitalCost_ACTIVE*J$55</f>
        <v>-270000000</v>
      </c>
      <c r="K73" s="17">
        <f>-IF(AND(K$58&gt;='CBA Inputs'!$F30,K$58&lt;='CBA Inputs'!$G30),'CBA Inputs'!$E30/('CBA Inputs'!$G30-'CBA Inputs'!$F30+1),0)*IF(K$58=0,0,1)*CapitalCost_ACTIVE*K$55</f>
        <v>-270000000</v>
      </c>
      <c r="L73" s="17">
        <f>-IF(AND(L$58&gt;='CBA Inputs'!$F30,L$58&lt;='CBA Inputs'!$G30),'CBA Inputs'!$E30/('CBA Inputs'!$G30-'CBA Inputs'!$F30+1),0)*IF(L$58=0,0,1)*CapitalCost_ACTIVE*L$55</f>
        <v>0</v>
      </c>
      <c r="M73" s="17">
        <f>-IF(AND(M$58&gt;='CBA Inputs'!$F30,M$58&lt;='CBA Inputs'!$G30),'CBA Inputs'!$E30/('CBA Inputs'!$G30-'CBA Inputs'!$F30+1),0)*IF(M$58=0,0,1)*CapitalCost_ACTIVE*M$55</f>
        <v>0</v>
      </c>
      <c r="N73" s="17">
        <f>-IF(AND(N$58&gt;='CBA Inputs'!$F30,N$58&lt;='CBA Inputs'!$G30),'CBA Inputs'!$E30/('CBA Inputs'!$G30-'CBA Inputs'!$F30+1),0)*IF(N$58=0,0,1)*CapitalCost_ACTIVE*N$55</f>
        <v>0</v>
      </c>
      <c r="O73" s="17">
        <f>-IF(AND(O$58&gt;='CBA Inputs'!$F30,O$58&lt;='CBA Inputs'!$G30),'CBA Inputs'!$E30/('CBA Inputs'!$G30-'CBA Inputs'!$F30+1),0)*IF(O$58=0,0,1)*CapitalCost_ACTIVE*O$55</f>
        <v>0</v>
      </c>
      <c r="P73" s="17">
        <f>-IF(AND(P$58&gt;='CBA Inputs'!$F30,P$58&lt;='CBA Inputs'!$G30),'CBA Inputs'!$E30/('CBA Inputs'!$G30-'CBA Inputs'!$F30+1),0)*IF(P$58=0,0,1)*CapitalCost_ACTIVE*P$55</f>
        <v>0</v>
      </c>
      <c r="Q73" s="17">
        <f>-IF(AND(Q$58&gt;='CBA Inputs'!$F30,Q$58&lt;='CBA Inputs'!$G30),'CBA Inputs'!$E30/('CBA Inputs'!$G30-'CBA Inputs'!$F30+1),0)*IF(Q$58=0,0,1)*CapitalCost_ACTIVE*Q$55</f>
        <v>0</v>
      </c>
      <c r="R73" s="17">
        <f>-IF(AND(R$58&gt;='CBA Inputs'!$F30,R$58&lt;='CBA Inputs'!$G30),'CBA Inputs'!$E30/('CBA Inputs'!$G30-'CBA Inputs'!$F30+1),0)*IF(R$58=0,0,1)*CapitalCost_ACTIVE*R$55</f>
        <v>0</v>
      </c>
      <c r="S73" s="17">
        <f>-IF(AND(S$58&gt;='CBA Inputs'!$F30,S$58&lt;='CBA Inputs'!$G30),'CBA Inputs'!$E30/('CBA Inputs'!$G30-'CBA Inputs'!$F30+1),0)*IF(S$58=0,0,1)*CapitalCost_ACTIVE*S$55</f>
        <v>0</v>
      </c>
      <c r="T73" s="17">
        <f>-IF(AND(T$58&gt;='CBA Inputs'!$F30,T$58&lt;='CBA Inputs'!$G30),'CBA Inputs'!$E30/('CBA Inputs'!$G30-'CBA Inputs'!$F30+1),0)*IF(T$58=0,0,1)*CapitalCost_ACTIVE*T$55</f>
        <v>0</v>
      </c>
      <c r="U73" s="17">
        <f>-IF(AND(U$58&gt;='CBA Inputs'!$F30,U$58&lt;='CBA Inputs'!$G30),'CBA Inputs'!$E30/('CBA Inputs'!$G30-'CBA Inputs'!$F30+1),0)*IF(U$58=0,0,1)*CapitalCost_ACTIVE*U$55</f>
        <v>0</v>
      </c>
      <c r="V73" s="17">
        <f>-IF(AND(V$58&gt;='CBA Inputs'!$F30,V$58&lt;='CBA Inputs'!$G30),'CBA Inputs'!$E30/('CBA Inputs'!$G30-'CBA Inputs'!$F30+1),0)*IF(V$58=0,0,1)*CapitalCost_ACTIVE*V$55</f>
        <v>0</v>
      </c>
      <c r="W73" s="17">
        <f>-IF(AND(W$58&gt;='CBA Inputs'!$F30,W$58&lt;='CBA Inputs'!$G30),'CBA Inputs'!$E30/('CBA Inputs'!$G30-'CBA Inputs'!$F30+1),0)*IF(W$58=0,0,1)*CapitalCost_ACTIVE*W$55</f>
        <v>0</v>
      </c>
      <c r="X73" s="17">
        <f>-IF(AND(X$58&gt;='CBA Inputs'!$F30,X$58&lt;='CBA Inputs'!$G30),'CBA Inputs'!$E30/('CBA Inputs'!$G30-'CBA Inputs'!$F30+1),0)*IF(X$58=0,0,1)*CapitalCost_ACTIVE*X$55</f>
        <v>0</v>
      </c>
      <c r="Y73" s="17">
        <f>-IF(AND(Y$58&gt;='CBA Inputs'!$F30,Y$58&lt;='CBA Inputs'!$G30),'CBA Inputs'!$E30/('CBA Inputs'!$G30-'CBA Inputs'!$F30+1),0)*IF(Y$58=0,0,1)*CapitalCost_ACTIVE*Y$55</f>
        <v>0</v>
      </c>
      <c r="Z73" s="17">
        <f>-IF(AND(Z$58&gt;='CBA Inputs'!$F30,Z$58&lt;='CBA Inputs'!$G30),'CBA Inputs'!$E30/('CBA Inputs'!$G30-'CBA Inputs'!$F30+1),0)*IF(Z$58=0,0,1)*CapitalCost_ACTIVE*Z$55</f>
        <v>0</v>
      </c>
      <c r="AA73" s="17">
        <f>-IF(AND(AA$58&gt;='CBA Inputs'!$F30,AA$58&lt;='CBA Inputs'!$G30),'CBA Inputs'!$E30/('CBA Inputs'!$G30-'CBA Inputs'!$F30+1),0)*IF(AA$58=0,0,1)*CapitalCost_ACTIVE*AA$55</f>
        <v>0</v>
      </c>
      <c r="AB73" s="17">
        <f>-IF(AND(AB$58&gt;='CBA Inputs'!$F30,AB$58&lt;='CBA Inputs'!$G30),'CBA Inputs'!$E30/('CBA Inputs'!$G30-'CBA Inputs'!$F30+1),0)*IF(AB$58=0,0,1)*CapitalCost_ACTIVE*AB$55</f>
        <v>0</v>
      </c>
      <c r="AC73" s="17">
        <f>-IF(AND(AC$58&gt;='CBA Inputs'!$F30,AC$58&lt;='CBA Inputs'!$G30),'CBA Inputs'!$E30/('CBA Inputs'!$G30-'CBA Inputs'!$F30+1),0)*IF(AC$58=0,0,1)*CapitalCost_ACTIVE*AC$55</f>
        <v>0</v>
      </c>
      <c r="AD73" s="17">
        <f>-IF(AND(AD$58&gt;='CBA Inputs'!$F30,AD$58&lt;='CBA Inputs'!$G30),'CBA Inputs'!$E30/('CBA Inputs'!$G30-'CBA Inputs'!$F30+1),0)*IF(AD$58=0,0,1)*CapitalCost_ACTIVE*AD$55</f>
        <v>0</v>
      </c>
      <c r="AE73" s="17">
        <f>-IF(AND(AE$58&gt;='CBA Inputs'!$F30,AE$58&lt;='CBA Inputs'!$G30),'CBA Inputs'!$E30/('CBA Inputs'!$G30-'CBA Inputs'!$F30+1),0)*IF(AE$58=0,0,1)*CapitalCost_ACTIVE*AE$55</f>
        <v>0</v>
      </c>
      <c r="AF73" s="17">
        <f>-IF(AND(AF$58&gt;='CBA Inputs'!$F30,AF$58&lt;='CBA Inputs'!$G30),'CBA Inputs'!$E30/('CBA Inputs'!$G30-'CBA Inputs'!$F30+1),0)*IF(AF$58=0,0,1)*CapitalCost_ACTIVE*AF$55</f>
        <v>0</v>
      </c>
      <c r="AG73" s="17">
        <f>-IF(AND(AG$58&gt;='CBA Inputs'!$F30,AG$58&lt;='CBA Inputs'!$G30),'CBA Inputs'!$E30/('CBA Inputs'!$G30-'CBA Inputs'!$F30+1),0)*IF(AG$58=0,0,1)*CapitalCost_ACTIVE*AG$55</f>
        <v>0</v>
      </c>
      <c r="AH73" s="17">
        <f>-IF(AND(AH$58&gt;='CBA Inputs'!$F30,AH$58&lt;='CBA Inputs'!$G30),'CBA Inputs'!$E30/('CBA Inputs'!$G30-'CBA Inputs'!$F30+1),0)*IF(AH$58=0,0,1)*CapitalCost_ACTIVE*AH$55</f>
        <v>0</v>
      </c>
      <c r="AI73" s="17">
        <f>-IF(AND(AI$58&gt;='CBA Inputs'!$F30,AI$58&lt;='CBA Inputs'!$G30),'CBA Inputs'!$E30/('CBA Inputs'!$G30-'CBA Inputs'!$F30+1),0)*IF(AI$58=0,0,1)*CapitalCost_ACTIVE*AI$55</f>
        <v>0</v>
      </c>
      <c r="AJ73" s="17">
        <f>-IF(AND(AJ$58&gt;='CBA Inputs'!$F30,AJ$58&lt;='CBA Inputs'!$G30),'CBA Inputs'!$E30/('CBA Inputs'!$G30-'CBA Inputs'!$F30+1),0)*IF(AJ$58=0,0,1)*CapitalCost_ACTIVE*AJ$55</f>
        <v>0</v>
      </c>
      <c r="AK73" s="178">
        <f>IFERROR(PMT(DiscountRate_ACTIVE,'CBA Inputs'!I30,'CBA Inputs'!E30),0)</f>
        <v>-67565257.527961761</v>
      </c>
      <c r="AM73" s="24">
        <f>'CBA Inputs'!L30</f>
        <v>8</v>
      </c>
      <c r="AN73" s="24" t="str">
        <f>'CBA Inputs'!M30</f>
        <v>Option 3B</v>
      </c>
      <c r="AO73" s="24" t="str">
        <f>'CBA Inputs'!N30</f>
        <v>Substation</v>
      </c>
      <c r="AP73" s="12" t="s">
        <v>35</v>
      </c>
      <c r="AQ73" s="18">
        <f t="shared" si="29"/>
        <v>0</v>
      </c>
      <c r="AR73" s="17">
        <f>-IF(AND(G$58&gt;='CBA Inputs'!$P30,G$58&lt;='CBA Inputs'!$Q30),'CBA Inputs'!$O30/('CBA Inputs'!$Q30-'CBA Inputs'!$P30+1),0)*IF(G$58=0,0,1)*CapitalCost_ACTIVE*G$55*IF(Scenario_Select='CBA Inputs'!$T30,1,0)</f>
        <v>0</v>
      </c>
      <c r="AS73" s="17">
        <f>-IF(AND(H$58&gt;='CBA Inputs'!$P30,H$58&lt;='CBA Inputs'!$Q30),'CBA Inputs'!$O30/('CBA Inputs'!$Q30-'CBA Inputs'!$P30+1),0)*IF(H$58=0,0,1)*CapitalCost_ACTIVE*H$55*IF(Scenario_Select='CBA Inputs'!$T30,1,0)</f>
        <v>0</v>
      </c>
      <c r="AT73" s="17">
        <f>-IF(AND(I$58&gt;='CBA Inputs'!$P30,I$58&lt;='CBA Inputs'!$Q30),'CBA Inputs'!$O30/('CBA Inputs'!$Q30-'CBA Inputs'!$P30+1),0)*IF(I$58=0,0,1)*CapitalCost_ACTIVE*I$55*IF(Scenario_Select='CBA Inputs'!$T30,1,0)</f>
        <v>0</v>
      </c>
      <c r="AU73" s="17">
        <f>-IF(AND(J$58&gt;='CBA Inputs'!$P30,J$58&lt;='CBA Inputs'!$Q30),'CBA Inputs'!$O30/('CBA Inputs'!$Q30-'CBA Inputs'!$P30+1),0)*IF(J$58=0,0,1)*CapitalCost_ACTIVE*J$55*IF(Scenario_Select='CBA Inputs'!$T30,1,0)</f>
        <v>0</v>
      </c>
      <c r="AV73" s="17">
        <f>-IF(AND(K$58&gt;='CBA Inputs'!$P30,K$58&lt;='CBA Inputs'!$Q30),'CBA Inputs'!$O30/('CBA Inputs'!$Q30-'CBA Inputs'!$P30+1),0)*IF(K$58=0,0,1)*CapitalCost_ACTIVE*K$55*IF(Scenario_Select='CBA Inputs'!$T30,1,0)</f>
        <v>0</v>
      </c>
      <c r="AW73" s="17">
        <f>-IF(AND(L$58&gt;='CBA Inputs'!$P30,L$58&lt;='CBA Inputs'!$Q30),'CBA Inputs'!$O30/('CBA Inputs'!$Q30-'CBA Inputs'!$P30+1),0)*IF(L$58=0,0,1)*CapitalCost_ACTIVE*L$55*IF(Scenario_Select='CBA Inputs'!$T30,1,0)</f>
        <v>0</v>
      </c>
      <c r="AX73" s="17">
        <f>-IF(AND(M$58&gt;='CBA Inputs'!$P30,M$58&lt;='CBA Inputs'!$Q30),'CBA Inputs'!$O30/('CBA Inputs'!$Q30-'CBA Inputs'!$P30+1),0)*IF(M$58=0,0,1)*CapitalCost_ACTIVE*M$55*IF(Scenario_Select='CBA Inputs'!$T30,1,0)</f>
        <v>0</v>
      </c>
      <c r="AY73" s="17">
        <f>-IF(AND(N$58&gt;='CBA Inputs'!$P30,N$58&lt;='CBA Inputs'!$Q30),'CBA Inputs'!$O30/('CBA Inputs'!$Q30-'CBA Inputs'!$P30+1),0)*IF(N$58=0,0,1)*CapitalCost_ACTIVE*N$55*IF(Scenario_Select='CBA Inputs'!$T30,1,0)</f>
        <v>0</v>
      </c>
      <c r="AZ73" s="17">
        <f>-IF(AND(O$58&gt;='CBA Inputs'!$P30,O$58&lt;='CBA Inputs'!$Q30),'CBA Inputs'!$O30/('CBA Inputs'!$Q30-'CBA Inputs'!$P30+1),0)*IF(O$58=0,0,1)*CapitalCost_ACTIVE*O$55*IF(Scenario_Select='CBA Inputs'!$T30,1,0)</f>
        <v>0</v>
      </c>
      <c r="BA73" s="17">
        <f>-IF(AND(P$58&gt;='CBA Inputs'!$P30,P$58&lt;='CBA Inputs'!$Q30),'CBA Inputs'!$O30/('CBA Inputs'!$Q30-'CBA Inputs'!$P30+1),0)*IF(P$58=0,0,1)*CapitalCost_ACTIVE*P$55*IF(Scenario_Select='CBA Inputs'!$T30,1,0)</f>
        <v>0</v>
      </c>
      <c r="BB73" s="17">
        <f>-IF(AND(Q$58&gt;='CBA Inputs'!$P30,Q$58&lt;='CBA Inputs'!$Q30),'CBA Inputs'!$O30/('CBA Inputs'!$Q30-'CBA Inputs'!$P30+1),0)*IF(Q$58=0,0,1)*CapitalCost_ACTIVE*Q$55*IF(Scenario_Select='CBA Inputs'!$T30,1,0)</f>
        <v>0</v>
      </c>
      <c r="BC73" s="17">
        <f>-IF(AND(R$58&gt;='CBA Inputs'!$P30,R$58&lt;='CBA Inputs'!$Q30),'CBA Inputs'!$O30/('CBA Inputs'!$Q30-'CBA Inputs'!$P30+1),0)*IF(R$58=0,0,1)*CapitalCost_ACTIVE*R$55*IF(Scenario_Select='CBA Inputs'!$T30,1,0)</f>
        <v>0</v>
      </c>
      <c r="BD73" s="17">
        <f>-IF(AND(S$58&gt;='CBA Inputs'!$P30,S$58&lt;='CBA Inputs'!$Q30),'CBA Inputs'!$O30/('CBA Inputs'!$Q30-'CBA Inputs'!$P30+1),0)*IF(S$58=0,0,1)*CapitalCost_ACTIVE*S$55*IF(Scenario_Select='CBA Inputs'!$T30,1,0)</f>
        <v>0</v>
      </c>
      <c r="BE73" s="17">
        <f>-IF(AND(T$58&gt;='CBA Inputs'!$P30,T$58&lt;='CBA Inputs'!$Q30),'CBA Inputs'!$O30/('CBA Inputs'!$Q30-'CBA Inputs'!$P30+1),0)*IF(T$58=0,0,1)*CapitalCost_ACTIVE*T$55*IF(Scenario_Select='CBA Inputs'!$T30,1,0)</f>
        <v>0</v>
      </c>
      <c r="BF73" s="17">
        <f>-IF(AND(U$58&gt;='CBA Inputs'!$P30,U$58&lt;='CBA Inputs'!$Q30),'CBA Inputs'!$O30/('CBA Inputs'!$Q30-'CBA Inputs'!$P30+1),0)*IF(U$58=0,0,1)*CapitalCost_ACTIVE*U$55*IF(Scenario_Select='CBA Inputs'!$T30,1,0)</f>
        <v>0</v>
      </c>
      <c r="BG73" s="17">
        <f>-IF(AND(V$58&gt;='CBA Inputs'!$P30,V$58&lt;='CBA Inputs'!$Q30),'CBA Inputs'!$O30/('CBA Inputs'!$Q30-'CBA Inputs'!$P30+1),0)*IF(V$58=0,0,1)*CapitalCost_ACTIVE*V$55*IF(Scenario_Select='CBA Inputs'!$T30,1,0)</f>
        <v>0</v>
      </c>
      <c r="BH73" s="17">
        <f>-IF(AND(W$58&gt;='CBA Inputs'!$P30,W$58&lt;='CBA Inputs'!$Q30),'CBA Inputs'!$O30/('CBA Inputs'!$Q30-'CBA Inputs'!$P30+1),0)*IF(W$58=0,0,1)*CapitalCost_ACTIVE*W$55*IF(Scenario_Select='CBA Inputs'!$T30,1,0)</f>
        <v>0</v>
      </c>
      <c r="BI73" s="17">
        <f>-IF(AND(X$58&gt;='CBA Inputs'!$P30,X$58&lt;='CBA Inputs'!$Q30),'CBA Inputs'!$O30/('CBA Inputs'!$Q30-'CBA Inputs'!$P30+1),0)*IF(X$58=0,0,1)*CapitalCost_ACTIVE*X$55*IF(Scenario_Select='CBA Inputs'!$T30,1,0)</f>
        <v>0</v>
      </c>
      <c r="BJ73" s="17">
        <f>-IF(AND(Y$58&gt;='CBA Inputs'!$P30,Y$58&lt;='CBA Inputs'!$Q30),'CBA Inputs'!$O30/('CBA Inputs'!$Q30-'CBA Inputs'!$P30+1),0)*IF(Y$58=0,0,1)*CapitalCost_ACTIVE*Y$55*IF(Scenario_Select='CBA Inputs'!$T30,1,0)</f>
        <v>0</v>
      </c>
      <c r="BK73" s="17">
        <f>-IF(AND(Z$58&gt;='CBA Inputs'!$P30,Z$58&lt;='CBA Inputs'!$Q30),'CBA Inputs'!$O30/('CBA Inputs'!$Q30-'CBA Inputs'!$P30+1),0)*IF(Z$58=0,0,1)*CapitalCost_ACTIVE*Z$55*IF(Scenario_Select='CBA Inputs'!$T30,1,0)</f>
        <v>0</v>
      </c>
      <c r="BL73" s="17">
        <f>-IF(AND(AA$58&gt;='CBA Inputs'!$P30,AA$58&lt;='CBA Inputs'!$Q30),'CBA Inputs'!$O30/('CBA Inputs'!$Q30-'CBA Inputs'!$P30+1),0)*IF(AA$58=0,0,1)*CapitalCost_ACTIVE*AA$55*IF(Scenario_Select='CBA Inputs'!$T30,1,0)</f>
        <v>0</v>
      </c>
      <c r="BM73" s="17">
        <f>-IF(AND(AB$58&gt;='CBA Inputs'!$P30,AB$58&lt;='CBA Inputs'!$Q30),'CBA Inputs'!$O30/('CBA Inputs'!$Q30-'CBA Inputs'!$P30+1),0)*IF(AB$58=0,0,1)*CapitalCost_ACTIVE*AB$55*IF(Scenario_Select='CBA Inputs'!$T30,1,0)</f>
        <v>0</v>
      </c>
      <c r="BN73" s="17">
        <f>-IF(AND(AC$58&gt;='CBA Inputs'!$P30,AC$58&lt;='CBA Inputs'!$Q30),'CBA Inputs'!$O30/('CBA Inputs'!$Q30-'CBA Inputs'!$P30+1),0)*IF(AC$58=0,0,1)*CapitalCost_ACTIVE*AC$55*IF(Scenario_Select='CBA Inputs'!$T30,1,0)</f>
        <v>0</v>
      </c>
      <c r="BO73" s="17">
        <f>-IF(AND(AD$58&gt;='CBA Inputs'!$P30,AD$58&lt;='CBA Inputs'!$Q30),'CBA Inputs'!$O30/('CBA Inputs'!$Q30-'CBA Inputs'!$P30+1),0)*IF(AD$58=0,0,1)*CapitalCost_ACTIVE*AD$55*IF(Scenario_Select='CBA Inputs'!$T30,1,0)</f>
        <v>0</v>
      </c>
      <c r="BP73" s="17">
        <f>-IF(AND(AE$58&gt;='CBA Inputs'!$P30,AE$58&lt;='CBA Inputs'!$Q30),'CBA Inputs'!$O30/('CBA Inputs'!$Q30-'CBA Inputs'!$P30+1),0)*IF(AE$58=0,0,1)*CapitalCost_ACTIVE*AE$55*IF(Scenario_Select='CBA Inputs'!$T30,1,0)</f>
        <v>0</v>
      </c>
      <c r="BQ73" s="17">
        <f>-IF(AND(AF$58&gt;='CBA Inputs'!$P30,AF$58&lt;='CBA Inputs'!$Q30),'CBA Inputs'!$O30/('CBA Inputs'!$Q30-'CBA Inputs'!$P30+1),0)*IF(AF$58=0,0,1)*CapitalCost_ACTIVE*AF$55*IF(Scenario_Select='CBA Inputs'!$T30,1,0)</f>
        <v>0</v>
      </c>
      <c r="BR73" s="17">
        <f>-IF(AND(AG$58&gt;='CBA Inputs'!$P30,AG$58&lt;='CBA Inputs'!$Q30),'CBA Inputs'!$O30/('CBA Inputs'!$Q30-'CBA Inputs'!$P30+1),0)*IF(AG$58=0,0,1)*CapitalCost_ACTIVE*AG$55*IF(Scenario_Select='CBA Inputs'!$T30,1,0)</f>
        <v>0</v>
      </c>
      <c r="BS73" s="17">
        <f>-IF(AND(AH$58&gt;='CBA Inputs'!$P30,AH$58&lt;='CBA Inputs'!$Q30),'CBA Inputs'!$O30/('CBA Inputs'!$Q30-'CBA Inputs'!$P30+1),0)*IF(AH$58=0,0,1)*CapitalCost_ACTIVE*AH$55*IF(Scenario_Select='CBA Inputs'!$T30,1,0)</f>
        <v>0</v>
      </c>
      <c r="BT73" s="17">
        <f>-IF(AND(AI$58&gt;='CBA Inputs'!$P30,AI$58&lt;='CBA Inputs'!$Q30),'CBA Inputs'!$O30/('CBA Inputs'!$Q30-'CBA Inputs'!$P30+1),0)*IF(AI$58=0,0,1)*CapitalCost_ACTIVE*AI$55*IF(Scenario_Select='CBA Inputs'!$T30,1,0)</f>
        <v>0</v>
      </c>
      <c r="BU73" s="17">
        <f>-IF(AND(AJ$58&gt;='CBA Inputs'!$P30,AJ$58&lt;='CBA Inputs'!$Q30),'CBA Inputs'!$O30/('CBA Inputs'!$Q30-'CBA Inputs'!$P30+1),0)*IF(AJ$58=0,0,1)*CapitalCost_ACTIVE*AJ$55*IF(Scenario_Select='CBA Inputs'!$T30,1,0)</f>
        <v>0</v>
      </c>
      <c r="BV73" s="178">
        <f>IFERROR(PMT(DiscountRate_ACTIVE,'CBA Inputs'!S30,'CBA Inputs'!O30),0)*IF(Scenario_Select='CBA Inputs'!$T30,1,0)</f>
        <v>0</v>
      </c>
    </row>
    <row r="74" spans="1:74" x14ac:dyDescent="0.35">
      <c r="A74" s="134"/>
      <c r="B74" s="24">
        <f>+'CBA Inputs'!B31</f>
        <v>6</v>
      </c>
      <c r="C74" s="25" t="str">
        <f>+'CBA Inputs'!C31</f>
        <v>Option 2C</v>
      </c>
      <c r="D74" s="25" t="str">
        <f>'CBA Inputs'!D31</f>
        <v>Substation</v>
      </c>
      <c r="E74" s="12" t="s">
        <v>35</v>
      </c>
      <c r="F74" s="18">
        <f t="shared" si="28"/>
        <v>-266556966.23129916</v>
      </c>
      <c r="G74" s="17">
        <f>-IF(AND(G$58&gt;='CBA Inputs'!$F31,G$58&lt;='CBA Inputs'!$G31),'CBA Inputs'!$E31/('CBA Inputs'!$G31-'CBA Inputs'!$F31+1),0)*IF(G$58=0,0,1)*CapitalCost_ACTIVE*G$55</f>
        <v>0</v>
      </c>
      <c r="H74" s="17">
        <f>-IF(AND(H$58&gt;='CBA Inputs'!$F31,H$58&lt;='CBA Inputs'!$G31),'CBA Inputs'!$E31/('CBA Inputs'!$G31-'CBA Inputs'!$F31+1),0)*IF(H$58=0,0,1)*CapitalCost_ACTIVE*H$55</f>
        <v>-76750000</v>
      </c>
      <c r="I74" s="17">
        <f>-IF(AND(I$58&gt;='CBA Inputs'!$F31,I$58&lt;='CBA Inputs'!$G31),'CBA Inputs'!$E31/('CBA Inputs'!$G31-'CBA Inputs'!$F31+1),0)*IF(I$58=0,0,1)*CapitalCost_ACTIVE*I$55</f>
        <v>-76750000</v>
      </c>
      <c r="J74" s="17">
        <f>-IF(AND(J$58&gt;='CBA Inputs'!$F31,J$58&lt;='CBA Inputs'!$G31),'CBA Inputs'!$E31/('CBA Inputs'!$G31-'CBA Inputs'!$F31+1),0)*IF(J$58=0,0,1)*CapitalCost_ACTIVE*J$55</f>
        <v>-76750000</v>
      </c>
      <c r="K74" s="17">
        <f>-IF(AND(K$58&gt;='CBA Inputs'!$F31,K$58&lt;='CBA Inputs'!$G31),'CBA Inputs'!$E31/('CBA Inputs'!$G31-'CBA Inputs'!$F31+1),0)*IF(K$58=0,0,1)*CapitalCost_ACTIVE*K$55</f>
        <v>-76750000</v>
      </c>
      <c r="L74" s="17">
        <f>-IF(AND(L$58&gt;='CBA Inputs'!$F31,L$58&lt;='CBA Inputs'!$G31),'CBA Inputs'!$E31/('CBA Inputs'!$G31-'CBA Inputs'!$F31+1),0)*IF(L$58=0,0,1)*CapitalCost_ACTIVE*L$55</f>
        <v>0</v>
      </c>
      <c r="M74" s="17">
        <f>-IF(AND(M$58&gt;='CBA Inputs'!$F31,M$58&lt;='CBA Inputs'!$G31),'CBA Inputs'!$E31/('CBA Inputs'!$G31-'CBA Inputs'!$F31+1),0)*IF(M$58=0,0,1)*CapitalCost_ACTIVE*M$55</f>
        <v>0</v>
      </c>
      <c r="N74" s="17">
        <f>-IF(AND(N$58&gt;='CBA Inputs'!$F31,N$58&lt;='CBA Inputs'!$G31),'CBA Inputs'!$E31/('CBA Inputs'!$G31-'CBA Inputs'!$F31+1),0)*IF(N$58=0,0,1)*CapitalCost_ACTIVE*N$55</f>
        <v>0</v>
      </c>
      <c r="O74" s="17">
        <f>-IF(AND(O$58&gt;='CBA Inputs'!$F31,O$58&lt;='CBA Inputs'!$G31),'CBA Inputs'!$E31/('CBA Inputs'!$G31-'CBA Inputs'!$F31+1),0)*IF(O$58=0,0,1)*CapitalCost_ACTIVE*O$55</f>
        <v>0</v>
      </c>
      <c r="P74" s="17">
        <f>-IF(AND(P$58&gt;='CBA Inputs'!$F31,P$58&lt;='CBA Inputs'!$G31),'CBA Inputs'!$E31/('CBA Inputs'!$G31-'CBA Inputs'!$F31+1),0)*IF(P$58=0,0,1)*CapitalCost_ACTIVE*P$55</f>
        <v>0</v>
      </c>
      <c r="Q74" s="17">
        <f>-IF(AND(Q$58&gt;='CBA Inputs'!$F31,Q$58&lt;='CBA Inputs'!$G31),'CBA Inputs'!$E31/('CBA Inputs'!$G31-'CBA Inputs'!$F31+1),0)*IF(Q$58=0,0,1)*CapitalCost_ACTIVE*Q$55</f>
        <v>0</v>
      </c>
      <c r="R74" s="17">
        <f>-IF(AND(R$58&gt;='CBA Inputs'!$F31,R$58&lt;='CBA Inputs'!$G31),'CBA Inputs'!$E31/('CBA Inputs'!$G31-'CBA Inputs'!$F31+1),0)*IF(R$58=0,0,1)*CapitalCost_ACTIVE*R$55</f>
        <v>0</v>
      </c>
      <c r="S74" s="17">
        <f>-IF(AND(S$58&gt;='CBA Inputs'!$F31,S$58&lt;='CBA Inputs'!$G31),'CBA Inputs'!$E31/('CBA Inputs'!$G31-'CBA Inputs'!$F31+1),0)*IF(S$58=0,0,1)*CapitalCost_ACTIVE*S$55</f>
        <v>0</v>
      </c>
      <c r="T74" s="17">
        <f>-IF(AND(T$58&gt;='CBA Inputs'!$F31,T$58&lt;='CBA Inputs'!$G31),'CBA Inputs'!$E31/('CBA Inputs'!$G31-'CBA Inputs'!$F31+1),0)*IF(T$58=0,0,1)*CapitalCost_ACTIVE*T$55</f>
        <v>0</v>
      </c>
      <c r="U74" s="17">
        <f>-IF(AND(U$58&gt;='CBA Inputs'!$F31,U$58&lt;='CBA Inputs'!$G31),'CBA Inputs'!$E31/('CBA Inputs'!$G31-'CBA Inputs'!$F31+1),0)*IF(U$58=0,0,1)*CapitalCost_ACTIVE*U$55</f>
        <v>0</v>
      </c>
      <c r="V74" s="17">
        <f>-IF(AND(V$58&gt;='CBA Inputs'!$F31,V$58&lt;='CBA Inputs'!$G31),'CBA Inputs'!$E31/('CBA Inputs'!$G31-'CBA Inputs'!$F31+1),0)*IF(V$58=0,0,1)*CapitalCost_ACTIVE*V$55</f>
        <v>0</v>
      </c>
      <c r="W74" s="17">
        <f>-IF(AND(W$58&gt;='CBA Inputs'!$F31,W$58&lt;='CBA Inputs'!$G31),'CBA Inputs'!$E31/('CBA Inputs'!$G31-'CBA Inputs'!$F31+1),0)*IF(W$58=0,0,1)*CapitalCost_ACTIVE*W$55</f>
        <v>0</v>
      </c>
      <c r="X74" s="17">
        <f>-IF(AND(X$58&gt;='CBA Inputs'!$F31,X$58&lt;='CBA Inputs'!$G31),'CBA Inputs'!$E31/('CBA Inputs'!$G31-'CBA Inputs'!$F31+1),0)*IF(X$58=0,0,1)*CapitalCost_ACTIVE*X$55</f>
        <v>0</v>
      </c>
      <c r="Y74" s="17">
        <f>-IF(AND(Y$58&gt;='CBA Inputs'!$F31,Y$58&lt;='CBA Inputs'!$G31),'CBA Inputs'!$E31/('CBA Inputs'!$G31-'CBA Inputs'!$F31+1),0)*IF(Y$58=0,0,1)*CapitalCost_ACTIVE*Y$55</f>
        <v>0</v>
      </c>
      <c r="Z74" s="17">
        <f>-IF(AND(Z$58&gt;='CBA Inputs'!$F31,Z$58&lt;='CBA Inputs'!$G31),'CBA Inputs'!$E31/('CBA Inputs'!$G31-'CBA Inputs'!$F31+1),0)*IF(Z$58=0,0,1)*CapitalCost_ACTIVE*Z$55</f>
        <v>0</v>
      </c>
      <c r="AA74" s="17">
        <f>-IF(AND(AA$58&gt;='CBA Inputs'!$F31,AA$58&lt;='CBA Inputs'!$G31),'CBA Inputs'!$E31/('CBA Inputs'!$G31-'CBA Inputs'!$F31+1),0)*IF(AA$58=0,0,1)*CapitalCost_ACTIVE*AA$55</f>
        <v>0</v>
      </c>
      <c r="AB74" s="17">
        <f>-IF(AND(AB$58&gt;='CBA Inputs'!$F31,AB$58&lt;='CBA Inputs'!$G31),'CBA Inputs'!$E31/('CBA Inputs'!$G31-'CBA Inputs'!$F31+1),0)*IF(AB$58=0,0,1)*CapitalCost_ACTIVE*AB$55</f>
        <v>0</v>
      </c>
      <c r="AC74" s="17">
        <f>-IF(AND(AC$58&gt;='CBA Inputs'!$F31,AC$58&lt;='CBA Inputs'!$G31),'CBA Inputs'!$E31/('CBA Inputs'!$G31-'CBA Inputs'!$F31+1),0)*IF(AC$58=0,0,1)*CapitalCost_ACTIVE*AC$55</f>
        <v>0</v>
      </c>
      <c r="AD74" s="17">
        <f>-IF(AND(AD$58&gt;='CBA Inputs'!$F31,AD$58&lt;='CBA Inputs'!$G31),'CBA Inputs'!$E31/('CBA Inputs'!$G31-'CBA Inputs'!$F31+1),0)*IF(AD$58=0,0,1)*CapitalCost_ACTIVE*AD$55</f>
        <v>0</v>
      </c>
      <c r="AE74" s="17">
        <f>-IF(AND(AE$58&gt;='CBA Inputs'!$F31,AE$58&lt;='CBA Inputs'!$G31),'CBA Inputs'!$E31/('CBA Inputs'!$G31-'CBA Inputs'!$F31+1),0)*IF(AE$58=0,0,1)*CapitalCost_ACTIVE*AE$55</f>
        <v>0</v>
      </c>
      <c r="AF74" s="17">
        <f>-IF(AND(AF$58&gt;='CBA Inputs'!$F31,AF$58&lt;='CBA Inputs'!$G31),'CBA Inputs'!$E31/('CBA Inputs'!$G31-'CBA Inputs'!$F31+1),0)*IF(AF$58=0,0,1)*CapitalCost_ACTIVE*AF$55</f>
        <v>0</v>
      </c>
      <c r="AG74" s="17">
        <f>-IF(AND(AG$58&gt;='CBA Inputs'!$F31,AG$58&lt;='CBA Inputs'!$G31),'CBA Inputs'!$E31/('CBA Inputs'!$G31-'CBA Inputs'!$F31+1),0)*IF(AG$58=0,0,1)*CapitalCost_ACTIVE*AG$55</f>
        <v>0</v>
      </c>
      <c r="AH74" s="17">
        <f>-IF(AND(AH$58&gt;='CBA Inputs'!$F31,AH$58&lt;='CBA Inputs'!$G31),'CBA Inputs'!$E31/('CBA Inputs'!$G31-'CBA Inputs'!$F31+1),0)*IF(AH$58=0,0,1)*CapitalCost_ACTIVE*AH$55</f>
        <v>0</v>
      </c>
      <c r="AI74" s="17">
        <f>-IF(AND(AI$58&gt;='CBA Inputs'!$F31,AI$58&lt;='CBA Inputs'!$G31),'CBA Inputs'!$E31/('CBA Inputs'!$G31-'CBA Inputs'!$F31+1),0)*IF(AI$58=0,0,1)*CapitalCost_ACTIVE*AI$55</f>
        <v>0</v>
      </c>
      <c r="AJ74" s="17">
        <f>-IF(AND(AJ$58&gt;='CBA Inputs'!$F31,AJ$58&lt;='CBA Inputs'!$G31),'CBA Inputs'!$E31/('CBA Inputs'!$G31-'CBA Inputs'!$F31+1),0)*IF(AJ$58=0,0,1)*CapitalCost_ACTIVE*AJ$55</f>
        <v>0</v>
      </c>
      <c r="AK74" s="178">
        <f>IFERROR(PMT(DiscountRate_ACTIVE,'CBA Inputs'!I31,'CBA Inputs'!E31),0)</f>
        <v>-20147109.575150352</v>
      </c>
      <c r="AM74" s="24">
        <f>'CBA Inputs'!L31</f>
        <v>8</v>
      </c>
      <c r="AN74" s="24" t="str">
        <f>'CBA Inputs'!M31</f>
        <v>Option 3B</v>
      </c>
      <c r="AO74" s="24" t="str">
        <f>'CBA Inputs'!N31</f>
        <v>Substation</v>
      </c>
      <c r="AP74" s="12" t="s">
        <v>35</v>
      </c>
      <c r="AQ74" s="18">
        <f t="shared" si="29"/>
        <v>0</v>
      </c>
      <c r="AR74" s="17">
        <f>-IF(AND(G$58&gt;='CBA Inputs'!$P31,G$58&lt;='CBA Inputs'!$Q31),'CBA Inputs'!$O31/('CBA Inputs'!$Q31-'CBA Inputs'!$P31+1),0)*IF(G$58=0,0,1)*CapitalCost_ACTIVE*G$55*IF(Scenario_Select='CBA Inputs'!$T31,1,0)</f>
        <v>0</v>
      </c>
      <c r="AS74" s="17">
        <f>-IF(AND(H$58&gt;='CBA Inputs'!$P31,H$58&lt;='CBA Inputs'!$Q31),'CBA Inputs'!$O31/('CBA Inputs'!$Q31-'CBA Inputs'!$P31+1),0)*IF(H$58=0,0,1)*CapitalCost_ACTIVE*H$55*IF(Scenario_Select='CBA Inputs'!$T31,1,0)</f>
        <v>0</v>
      </c>
      <c r="AT74" s="17">
        <f>-IF(AND(I$58&gt;='CBA Inputs'!$P31,I$58&lt;='CBA Inputs'!$Q31),'CBA Inputs'!$O31/('CBA Inputs'!$Q31-'CBA Inputs'!$P31+1),0)*IF(I$58=0,0,1)*CapitalCost_ACTIVE*I$55*IF(Scenario_Select='CBA Inputs'!$T31,1,0)</f>
        <v>0</v>
      </c>
      <c r="AU74" s="17">
        <f>-IF(AND(J$58&gt;='CBA Inputs'!$P31,J$58&lt;='CBA Inputs'!$Q31),'CBA Inputs'!$O31/('CBA Inputs'!$Q31-'CBA Inputs'!$P31+1),0)*IF(J$58=0,0,1)*CapitalCost_ACTIVE*J$55*IF(Scenario_Select='CBA Inputs'!$T31,1,0)</f>
        <v>0</v>
      </c>
      <c r="AV74" s="17">
        <f>-IF(AND(K$58&gt;='CBA Inputs'!$P31,K$58&lt;='CBA Inputs'!$Q31),'CBA Inputs'!$O31/('CBA Inputs'!$Q31-'CBA Inputs'!$P31+1),0)*IF(K$58=0,0,1)*CapitalCost_ACTIVE*K$55*IF(Scenario_Select='CBA Inputs'!$T31,1,0)</f>
        <v>0</v>
      </c>
      <c r="AW74" s="17">
        <f>-IF(AND(L$58&gt;='CBA Inputs'!$P31,L$58&lt;='CBA Inputs'!$Q31),'CBA Inputs'!$O31/('CBA Inputs'!$Q31-'CBA Inputs'!$P31+1),0)*IF(L$58=0,0,1)*CapitalCost_ACTIVE*L$55*IF(Scenario_Select='CBA Inputs'!$T31,1,0)</f>
        <v>0</v>
      </c>
      <c r="AX74" s="17">
        <f>-IF(AND(M$58&gt;='CBA Inputs'!$P31,M$58&lt;='CBA Inputs'!$Q31),'CBA Inputs'!$O31/('CBA Inputs'!$Q31-'CBA Inputs'!$P31+1),0)*IF(M$58=0,0,1)*CapitalCost_ACTIVE*M$55*IF(Scenario_Select='CBA Inputs'!$T31,1,0)</f>
        <v>0</v>
      </c>
      <c r="AY74" s="17">
        <f>-IF(AND(N$58&gt;='CBA Inputs'!$P31,N$58&lt;='CBA Inputs'!$Q31),'CBA Inputs'!$O31/('CBA Inputs'!$Q31-'CBA Inputs'!$P31+1),0)*IF(N$58=0,0,1)*CapitalCost_ACTIVE*N$55*IF(Scenario_Select='CBA Inputs'!$T31,1,0)</f>
        <v>0</v>
      </c>
      <c r="AZ74" s="17">
        <f>-IF(AND(O$58&gt;='CBA Inputs'!$P31,O$58&lt;='CBA Inputs'!$Q31),'CBA Inputs'!$O31/('CBA Inputs'!$Q31-'CBA Inputs'!$P31+1),0)*IF(O$58=0,0,1)*CapitalCost_ACTIVE*O$55*IF(Scenario_Select='CBA Inputs'!$T31,1,0)</f>
        <v>0</v>
      </c>
      <c r="BA74" s="17">
        <f>-IF(AND(P$58&gt;='CBA Inputs'!$P31,P$58&lt;='CBA Inputs'!$Q31),'CBA Inputs'!$O31/('CBA Inputs'!$Q31-'CBA Inputs'!$P31+1),0)*IF(P$58=0,0,1)*CapitalCost_ACTIVE*P$55*IF(Scenario_Select='CBA Inputs'!$T31,1,0)</f>
        <v>0</v>
      </c>
      <c r="BB74" s="17">
        <f>-IF(AND(Q$58&gt;='CBA Inputs'!$P31,Q$58&lt;='CBA Inputs'!$Q31),'CBA Inputs'!$O31/('CBA Inputs'!$Q31-'CBA Inputs'!$P31+1),0)*IF(Q$58=0,0,1)*CapitalCost_ACTIVE*Q$55*IF(Scenario_Select='CBA Inputs'!$T31,1,0)</f>
        <v>0</v>
      </c>
      <c r="BC74" s="17">
        <f>-IF(AND(R$58&gt;='CBA Inputs'!$P31,R$58&lt;='CBA Inputs'!$Q31),'CBA Inputs'!$O31/('CBA Inputs'!$Q31-'CBA Inputs'!$P31+1),0)*IF(R$58=0,0,1)*CapitalCost_ACTIVE*R$55*IF(Scenario_Select='CBA Inputs'!$T31,1,0)</f>
        <v>0</v>
      </c>
      <c r="BD74" s="17">
        <f>-IF(AND(S$58&gt;='CBA Inputs'!$P31,S$58&lt;='CBA Inputs'!$Q31),'CBA Inputs'!$O31/('CBA Inputs'!$Q31-'CBA Inputs'!$P31+1),0)*IF(S$58=0,0,1)*CapitalCost_ACTIVE*S$55*IF(Scenario_Select='CBA Inputs'!$T31,1,0)</f>
        <v>0</v>
      </c>
      <c r="BE74" s="17">
        <f>-IF(AND(T$58&gt;='CBA Inputs'!$P31,T$58&lt;='CBA Inputs'!$Q31),'CBA Inputs'!$O31/('CBA Inputs'!$Q31-'CBA Inputs'!$P31+1),0)*IF(T$58=0,0,1)*CapitalCost_ACTIVE*T$55*IF(Scenario_Select='CBA Inputs'!$T31,1,0)</f>
        <v>0</v>
      </c>
      <c r="BF74" s="17">
        <f>-IF(AND(U$58&gt;='CBA Inputs'!$P31,U$58&lt;='CBA Inputs'!$Q31),'CBA Inputs'!$O31/('CBA Inputs'!$Q31-'CBA Inputs'!$P31+1),0)*IF(U$58=0,0,1)*CapitalCost_ACTIVE*U$55*IF(Scenario_Select='CBA Inputs'!$T31,1,0)</f>
        <v>0</v>
      </c>
      <c r="BG74" s="17">
        <f>-IF(AND(V$58&gt;='CBA Inputs'!$P31,V$58&lt;='CBA Inputs'!$Q31),'CBA Inputs'!$O31/('CBA Inputs'!$Q31-'CBA Inputs'!$P31+1),0)*IF(V$58=0,0,1)*CapitalCost_ACTIVE*V$55*IF(Scenario_Select='CBA Inputs'!$T31,1,0)</f>
        <v>0</v>
      </c>
      <c r="BH74" s="17">
        <f>-IF(AND(W$58&gt;='CBA Inputs'!$P31,W$58&lt;='CBA Inputs'!$Q31),'CBA Inputs'!$O31/('CBA Inputs'!$Q31-'CBA Inputs'!$P31+1),0)*IF(W$58=0,0,1)*CapitalCost_ACTIVE*W$55*IF(Scenario_Select='CBA Inputs'!$T31,1,0)</f>
        <v>0</v>
      </c>
      <c r="BI74" s="17">
        <f>-IF(AND(X$58&gt;='CBA Inputs'!$P31,X$58&lt;='CBA Inputs'!$Q31),'CBA Inputs'!$O31/('CBA Inputs'!$Q31-'CBA Inputs'!$P31+1),0)*IF(X$58=0,0,1)*CapitalCost_ACTIVE*X$55*IF(Scenario_Select='CBA Inputs'!$T31,1,0)</f>
        <v>0</v>
      </c>
      <c r="BJ74" s="17">
        <f>-IF(AND(Y$58&gt;='CBA Inputs'!$P31,Y$58&lt;='CBA Inputs'!$Q31),'CBA Inputs'!$O31/('CBA Inputs'!$Q31-'CBA Inputs'!$P31+1),0)*IF(Y$58=0,0,1)*CapitalCost_ACTIVE*Y$55*IF(Scenario_Select='CBA Inputs'!$T31,1,0)</f>
        <v>0</v>
      </c>
      <c r="BK74" s="17">
        <f>-IF(AND(Z$58&gt;='CBA Inputs'!$P31,Z$58&lt;='CBA Inputs'!$Q31),'CBA Inputs'!$O31/('CBA Inputs'!$Q31-'CBA Inputs'!$P31+1),0)*IF(Z$58=0,0,1)*CapitalCost_ACTIVE*Z$55*IF(Scenario_Select='CBA Inputs'!$T31,1,0)</f>
        <v>0</v>
      </c>
      <c r="BL74" s="17">
        <f>-IF(AND(AA$58&gt;='CBA Inputs'!$P31,AA$58&lt;='CBA Inputs'!$Q31),'CBA Inputs'!$O31/('CBA Inputs'!$Q31-'CBA Inputs'!$P31+1),0)*IF(AA$58=0,0,1)*CapitalCost_ACTIVE*AA$55*IF(Scenario_Select='CBA Inputs'!$T31,1,0)</f>
        <v>0</v>
      </c>
      <c r="BM74" s="17">
        <f>-IF(AND(AB$58&gt;='CBA Inputs'!$P31,AB$58&lt;='CBA Inputs'!$Q31),'CBA Inputs'!$O31/('CBA Inputs'!$Q31-'CBA Inputs'!$P31+1),0)*IF(AB$58=0,0,1)*CapitalCost_ACTIVE*AB$55*IF(Scenario_Select='CBA Inputs'!$T31,1,0)</f>
        <v>0</v>
      </c>
      <c r="BN74" s="17">
        <f>-IF(AND(AC$58&gt;='CBA Inputs'!$P31,AC$58&lt;='CBA Inputs'!$Q31),'CBA Inputs'!$O31/('CBA Inputs'!$Q31-'CBA Inputs'!$P31+1),0)*IF(AC$58=0,0,1)*CapitalCost_ACTIVE*AC$55*IF(Scenario_Select='CBA Inputs'!$T31,1,0)</f>
        <v>0</v>
      </c>
      <c r="BO74" s="17">
        <f>-IF(AND(AD$58&gt;='CBA Inputs'!$P31,AD$58&lt;='CBA Inputs'!$Q31),'CBA Inputs'!$O31/('CBA Inputs'!$Q31-'CBA Inputs'!$P31+1),0)*IF(AD$58=0,0,1)*CapitalCost_ACTIVE*AD$55*IF(Scenario_Select='CBA Inputs'!$T31,1,0)</f>
        <v>0</v>
      </c>
      <c r="BP74" s="17">
        <f>-IF(AND(AE$58&gt;='CBA Inputs'!$P31,AE$58&lt;='CBA Inputs'!$Q31),'CBA Inputs'!$O31/('CBA Inputs'!$Q31-'CBA Inputs'!$P31+1),0)*IF(AE$58=0,0,1)*CapitalCost_ACTIVE*AE$55*IF(Scenario_Select='CBA Inputs'!$T31,1,0)</f>
        <v>0</v>
      </c>
      <c r="BQ74" s="17">
        <f>-IF(AND(AF$58&gt;='CBA Inputs'!$P31,AF$58&lt;='CBA Inputs'!$Q31),'CBA Inputs'!$O31/('CBA Inputs'!$Q31-'CBA Inputs'!$P31+1),0)*IF(AF$58=0,0,1)*CapitalCost_ACTIVE*AF$55*IF(Scenario_Select='CBA Inputs'!$T31,1,0)</f>
        <v>0</v>
      </c>
      <c r="BR74" s="17">
        <f>-IF(AND(AG$58&gt;='CBA Inputs'!$P31,AG$58&lt;='CBA Inputs'!$Q31),'CBA Inputs'!$O31/('CBA Inputs'!$Q31-'CBA Inputs'!$P31+1),0)*IF(AG$58=0,0,1)*CapitalCost_ACTIVE*AG$55*IF(Scenario_Select='CBA Inputs'!$T31,1,0)</f>
        <v>0</v>
      </c>
      <c r="BS74" s="17">
        <f>-IF(AND(AH$58&gt;='CBA Inputs'!$P31,AH$58&lt;='CBA Inputs'!$Q31),'CBA Inputs'!$O31/('CBA Inputs'!$Q31-'CBA Inputs'!$P31+1),0)*IF(AH$58=0,0,1)*CapitalCost_ACTIVE*AH$55*IF(Scenario_Select='CBA Inputs'!$T31,1,0)</f>
        <v>0</v>
      </c>
      <c r="BT74" s="17">
        <f>-IF(AND(AI$58&gt;='CBA Inputs'!$P31,AI$58&lt;='CBA Inputs'!$Q31),'CBA Inputs'!$O31/('CBA Inputs'!$Q31-'CBA Inputs'!$P31+1),0)*IF(AI$58=0,0,1)*CapitalCost_ACTIVE*AI$55*IF(Scenario_Select='CBA Inputs'!$T31,1,0)</f>
        <v>0</v>
      </c>
      <c r="BU74" s="17">
        <f>-IF(AND(AJ$58&gt;='CBA Inputs'!$P31,AJ$58&lt;='CBA Inputs'!$Q31),'CBA Inputs'!$O31/('CBA Inputs'!$Q31-'CBA Inputs'!$P31+1),0)*IF(AJ$58=0,0,1)*CapitalCost_ACTIVE*AJ$55*IF(Scenario_Select='CBA Inputs'!$T31,1,0)</f>
        <v>0</v>
      </c>
      <c r="BV74" s="178">
        <f>IFERROR(PMT(DiscountRate_ACTIVE,'CBA Inputs'!S31,'CBA Inputs'!O31),0)*IF(Scenario_Select='CBA Inputs'!$T31,1,0)</f>
        <v>0</v>
      </c>
    </row>
    <row r="75" spans="1:74" x14ac:dyDescent="0.35">
      <c r="B75" s="24">
        <f>+'CBA Inputs'!B32</f>
        <v>7</v>
      </c>
      <c r="C75" s="25" t="str">
        <f>+'CBA Inputs'!C32</f>
        <v>Option 3A</v>
      </c>
      <c r="D75" s="25" t="str">
        <f>'CBA Inputs'!D32</f>
        <v>Lines</v>
      </c>
      <c r="E75" s="12" t="s">
        <v>35</v>
      </c>
      <c r="F75" s="18">
        <f t="shared" si="28"/>
        <v>-766676876.81510472</v>
      </c>
      <c r="G75" s="17">
        <f>-IF(AND(G$58&gt;='CBA Inputs'!$F32,G$58&lt;='CBA Inputs'!$G32),'CBA Inputs'!$E32/('CBA Inputs'!$G32-'CBA Inputs'!$F32+1),0)*IF(G$58=0,0,1)*CapitalCost_ACTIVE*G$55</f>
        <v>0</v>
      </c>
      <c r="H75" s="17">
        <f>-IF(AND(H$58&gt;='CBA Inputs'!$F32,H$58&lt;='CBA Inputs'!$G32),'CBA Inputs'!$E32/('CBA Inputs'!$G32-'CBA Inputs'!$F32+1),0)*IF(H$58=0,0,1)*CapitalCost_ACTIVE*H$55</f>
        <v>-220750000</v>
      </c>
      <c r="I75" s="17">
        <f>-IF(AND(I$58&gt;='CBA Inputs'!$F32,I$58&lt;='CBA Inputs'!$G32),'CBA Inputs'!$E32/('CBA Inputs'!$G32-'CBA Inputs'!$F32+1),0)*IF(I$58=0,0,1)*CapitalCost_ACTIVE*I$55</f>
        <v>-220750000</v>
      </c>
      <c r="J75" s="17">
        <f>-IF(AND(J$58&gt;='CBA Inputs'!$F32,J$58&lt;='CBA Inputs'!$G32),'CBA Inputs'!$E32/('CBA Inputs'!$G32-'CBA Inputs'!$F32+1),0)*IF(J$58=0,0,1)*CapitalCost_ACTIVE*J$55</f>
        <v>-220750000</v>
      </c>
      <c r="K75" s="17">
        <f>-IF(AND(K$58&gt;='CBA Inputs'!$F32,K$58&lt;='CBA Inputs'!$G32),'CBA Inputs'!$E32/('CBA Inputs'!$G32-'CBA Inputs'!$F32+1),0)*IF(K$58=0,0,1)*CapitalCost_ACTIVE*K$55</f>
        <v>-220750000</v>
      </c>
      <c r="L75" s="17">
        <f>-IF(AND(L$58&gt;='CBA Inputs'!$F32,L$58&lt;='CBA Inputs'!$G32),'CBA Inputs'!$E32/('CBA Inputs'!$G32-'CBA Inputs'!$F32+1),0)*IF(L$58=0,0,1)*CapitalCost_ACTIVE*L$55</f>
        <v>0</v>
      </c>
      <c r="M75" s="17">
        <f>-IF(AND(M$58&gt;='CBA Inputs'!$F32,M$58&lt;='CBA Inputs'!$G32),'CBA Inputs'!$E32/('CBA Inputs'!$G32-'CBA Inputs'!$F32+1),0)*IF(M$58=0,0,1)*CapitalCost_ACTIVE*M$55</f>
        <v>0</v>
      </c>
      <c r="N75" s="17">
        <f>-IF(AND(N$58&gt;='CBA Inputs'!$F32,N$58&lt;='CBA Inputs'!$G32),'CBA Inputs'!$E32/('CBA Inputs'!$G32-'CBA Inputs'!$F32+1),0)*IF(N$58=0,0,1)*CapitalCost_ACTIVE*N$55</f>
        <v>0</v>
      </c>
      <c r="O75" s="17">
        <f>-IF(AND(O$58&gt;='CBA Inputs'!$F32,O$58&lt;='CBA Inputs'!$G32),'CBA Inputs'!$E32/('CBA Inputs'!$G32-'CBA Inputs'!$F32+1),0)*IF(O$58=0,0,1)*CapitalCost_ACTIVE*O$55</f>
        <v>0</v>
      </c>
      <c r="P75" s="17">
        <f>-IF(AND(P$58&gt;='CBA Inputs'!$F32,P$58&lt;='CBA Inputs'!$G32),'CBA Inputs'!$E32/('CBA Inputs'!$G32-'CBA Inputs'!$F32+1),0)*IF(P$58=0,0,1)*CapitalCost_ACTIVE*P$55</f>
        <v>0</v>
      </c>
      <c r="Q75" s="17">
        <f>-IF(AND(Q$58&gt;='CBA Inputs'!$F32,Q$58&lt;='CBA Inputs'!$G32),'CBA Inputs'!$E32/('CBA Inputs'!$G32-'CBA Inputs'!$F32+1),0)*IF(Q$58=0,0,1)*CapitalCost_ACTIVE*Q$55</f>
        <v>0</v>
      </c>
      <c r="R75" s="17">
        <f>-IF(AND(R$58&gt;='CBA Inputs'!$F32,R$58&lt;='CBA Inputs'!$G32),'CBA Inputs'!$E32/('CBA Inputs'!$G32-'CBA Inputs'!$F32+1),0)*IF(R$58=0,0,1)*CapitalCost_ACTIVE*R$55</f>
        <v>0</v>
      </c>
      <c r="S75" s="17">
        <f>-IF(AND(S$58&gt;='CBA Inputs'!$F32,S$58&lt;='CBA Inputs'!$G32),'CBA Inputs'!$E32/('CBA Inputs'!$G32-'CBA Inputs'!$F32+1),0)*IF(S$58=0,0,1)*CapitalCost_ACTIVE*S$55</f>
        <v>0</v>
      </c>
      <c r="T75" s="17">
        <f>-IF(AND(T$58&gt;='CBA Inputs'!$F32,T$58&lt;='CBA Inputs'!$G32),'CBA Inputs'!$E32/('CBA Inputs'!$G32-'CBA Inputs'!$F32+1),0)*IF(T$58=0,0,1)*CapitalCost_ACTIVE*T$55</f>
        <v>0</v>
      </c>
      <c r="U75" s="17">
        <f>-IF(AND(U$58&gt;='CBA Inputs'!$F32,U$58&lt;='CBA Inputs'!$G32),'CBA Inputs'!$E32/('CBA Inputs'!$G32-'CBA Inputs'!$F32+1),0)*IF(U$58=0,0,1)*CapitalCost_ACTIVE*U$55</f>
        <v>0</v>
      </c>
      <c r="V75" s="17">
        <f>-IF(AND(V$58&gt;='CBA Inputs'!$F32,V$58&lt;='CBA Inputs'!$G32),'CBA Inputs'!$E32/('CBA Inputs'!$G32-'CBA Inputs'!$F32+1),0)*IF(V$58=0,0,1)*CapitalCost_ACTIVE*V$55</f>
        <v>0</v>
      </c>
      <c r="W75" s="17">
        <f>-IF(AND(W$58&gt;='CBA Inputs'!$F32,W$58&lt;='CBA Inputs'!$G32),'CBA Inputs'!$E32/('CBA Inputs'!$G32-'CBA Inputs'!$F32+1),0)*IF(W$58=0,0,1)*CapitalCost_ACTIVE*W$55</f>
        <v>0</v>
      </c>
      <c r="X75" s="17">
        <f>-IF(AND(X$58&gt;='CBA Inputs'!$F32,X$58&lt;='CBA Inputs'!$G32),'CBA Inputs'!$E32/('CBA Inputs'!$G32-'CBA Inputs'!$F32+1),0)*IF(X$58=0,0,1)*CapitalCost_ACTIVE*X$55</f>
        <v>0</v>
      </c>
      <c r="Y75" s="17">
        <f>-IF(AND(Y$58&gt;='CBA Inputs'!$F32,Y$58&lt;='CBA Inputs'!$G32),'CBA Inputs'!$E32/('CBA Inputs'!$G32-'CBA Inputs'!$F32+1),0)*IF(Y$58=0,0,1)*CapitalCost_ACTIVE*Y$55</f>
        <v>0</v>
      </c>
      <c r="Z75" s="17">
        <f>-IF(AND(Z$58&gt;='CBA Inputs'!$F32,Z$58&lt;='CBA Inputs'!$G32),'CBA Inputs'!$E32/('CBA Inputs'!$G32-'CBA Inputs'!$F32+1),0)*IF(Z$58=0,0,1)*CapitalCost_ACTIVE*Z$55</f>
        <v>0</v>
      </c>
      <c r="AA75" s="17">
        <f>-IF(AND(AA$58&gt;='CBA Inputs'!$F32,AA$58&lt;='CBA Inputs'!$G32),'CBA Inputs'!$E32/('CBA Inputs'!$G32-'CBA Inputs'!$F32+1),0)*IF(AA$58=0,0,1)*CapitalCost_ACTIVE*AA$55</f>
        <v>0</v>
      </c>
      <c r="AB75" s="17">
        <f>-IF(AND(AB$58&gt;='CBA Inputs'!$F32,AB$58&lt;='CBA Inputs'!$G32),'CBA Inputs'!$E32/('CBA Inputs'!$G32-'CBA Inputs'!$F32+1),0)*IF(AB$58=0,0,1)*CapitalCost_ACTIVE*AB$55</f>
        <v>0</v>
      </c>
      <c r="AC75" s="17">
        <f>-IF(AND(AC$58&gt;='CBA Inputs'!$F32,AC$58&lt;='CBA Inputs'!$G32),'CBA Inputs'!$E32/('CBA Inputs'!$G32-'CBA Inputs'!$F32+1),0)*IF(AC$58=0,0,1)*CapitalCost_ACTIVE*AC$55</f>
        <v>0</v>
      </c>
      <c r="AD75" s="17">
        <f>-IF(AND(AD$58&gt;='CBA Inputs'!$F32,AD$58&lt;='CBA Inputs'!$G32),'CBA Inputs'!$E32/('CBA Inputs'!$G32-'CBA Inputs'!$F32+1),0)*IF(AD$58=0,0,1)*CapitalCost_ACTIVE*AD$55</f>
        <v>0</v>
      </c>
      <c r="AE75" s="17">
        <f>-IF(AND(AE$58&gt;='CBA Inputs'!$F32,AE$58&lt;='CBA Inputs'!$G32),'CBA Inputs'!$E32/('CBA Inputs'!$G32-'CBA Inputs'!$F32+1),0)*IF(AE$58=0,0,1)*CapitalCost_ACTIVE*AE$55</f>
        <v>0</v>
      </c>
      <c r="AF75" s="17">
        <f>-IF(AND(AF$58&gt;='CBA Inputs'!$F32,AF$58&lt;='CBA Inputs'!$G32),'CBA Inputs'!$E32/('CBA Inputs'!$G32-'CBA Inputs'!$F32+1),0)*IF(AF$58=0,0,1)*CapitalCost_ACTIVE*AF$55</f>
        <v>0</v>
      </c>
      <c r="AG75" s="17">
        <f>-IF(AND(AG$58&gt;='CBA Inputs'!$F32,AG$58&lt;='CBA Inputs'!$G32),'CBA Inputs'!$E32/('CBA Inputs'!$G32-'CBA Inputs'!$F32+1),0)*IF(AG$58=0,0,1)*CapitalCost_ACTIVE*AG$55</f>
        <v>0</v>
      </c>
      <c r="AH75" s="17">
        <f>-IF(AND(AH$58&gt;='CBA Inputs'!$F32,AH$58&lt;='CBA Inputs'!$G32),'CBA Inputs'!$E32/('CBA Inputs'!$G32-'CBA Inputs'!$F32+1),0)*IF(AH$58=0,0,1)*CapitalCost_ACTIVE*AH$55</f>
        <v>0</v>
      </c>
      <c r="AI75" s="17">
        <f>-IF(AND(AI$58&gt;='CBA Inputs'!$F32,AI$58&lt;='CBA Inputs'!$G32),'CBA Inputs'!$E32/('CBA Inputs'!$G32-'CBA Inputs'!$F32+1),0)*IF(AI$58=0,0,1)*CapitalCost_ACTIVE*AI$55</f>
        <v>0</v>
      </c>
      <c r="AJ75" s="17">
        <f>-IF(AND(AJ$58&gt;='CBA Inputs'!$F32,AJ$58&lt;='CBA Inputs'!$G32),'CBA Inputs'!$E32/('CBA Inputs'!$G32-'CBA Inputs'!$F32+1),0)*IF(AJ$58=0,0,1)*CapitalCost_ACTIVE*AJ$55</f>
        <v>0</v>
      </c>
      <c r="AK75" s="178">
        <f>IFERROR(PMT(DiscountRate_ACTIVE,'CBA Inputs'!I32,'CBA Inputs'!E32),0)</f>
        <v>-55240854.071472429</v>
      </c>
      <c r="AM75" s="24">
        <f>'CBA Inputs'!L32</f>
        <v>11</v>
      </c>
      <c r="AN75" s="24" t="str">
        <f>'CBA Inputs'!M32</f>
        <v>Option 4B</v>
      </c>
      <c r="AO75" s="24" t="str">
        <f>'CBA Inputs'!N32</f>
        <v>Substation</v>
      </c>
      <c r="AP75" s="12" t="s">
        <v>35</v>
      </c>
      <c r="AQ75" s="18">
        <f t="shared" si="29"/>
        <v>-229878306.96751398</v>
      </c>
      <c r="AR75" s="17">
        <f>-IF(AND(G$58&gt;='CBA Inputs'!$P32,G$58&lt;='CBA Inputs'!$Q32),'CBA Inputs'!$O32/('CBA Inputs'!$Q32-'CBA Inputs'!$P32+1),0)*IF(G$58=0,0,1)*CapitalCost_ACTIVE*G$55*IF(Scenario_Select='CBA Inputs'!$T32,1,0)</f>
        <v>0</v>
      </c>
      <c r="AS75" s="17">
        <f>-IF(AND(H$58&gt;='CBA Inputs'!$P32,H$58&lt;='CBA Inputs'!$Q32),'CBA Inputs'!$O32/('CBA Inputs'!$Q32-'CBA Inputs'!$P32+1),0)*IF(H$58=0,0,1)*CapitalCost_ACTIVE*H$55*IF(Scenario_Select='CBA Inputs'!$T32,1,0)</f>
        <v>0</v>
      </c>
      <c r="AT75" s="17">
        <f>-IF(AND(I$58&gt;='CBA Inputs'!$P32,I$58&lt;='CBA Inputs'!$Q32),'CBA Inputs'!$O32/('CBA Inputs'!$Q32-'CBA Inputs'!$P32+1),0)*IF(I$58=0,0,1)*CapitalCost_ACTIVE*I$55*IF(Scenario_Select='CBA Inputs'!$T32,1,0)</f>
        <v>0</v>
      </c>
      <c r="AU75" s="17">
        <f>-IF(AND(J$58&gt;='CBA Inputs'!$P32,J$58&lt;='CBA Inputs'!$Q32),'CBA Inputs'!$O32/('CBA Inputs'!$Q32-'CBA Inputs'!$P32+1),0)*IF(J$58=0,0,1)*CapitalCost_ACTIVE*J$55*IF(Scenario_Select='CBA Inputs'!$T32,1,0)</f>
        <v>0</v>
      </c>
      <c r="AV75" s="17">
        <f>-IF(AND(K$58&gt;='CBA Inputs'!$P32,K$58&lt;='CBA Inputs'!$Q32),'CBA Inputs'!$O32/('CBA Inputs'!$Q32-'CBA Inputs'!$P32+1),0)*IF(K$58=0,0,1)*CapitalCost_ACTIVE*K$55*IF(Scenario_Select='CBA Inputs'!$T32,1,0)</f>
        <v>0</v>
      </c>
      <c r="AW75" s="17">
        <f>-IF(AND(L$58&gt;='CBA Inputs'!$P32,L$58&lt;='CBA Inputs'!$Q32),'CBA Inputs'!$O32/('CBA Inputs'!$Q32-'CBA Inputs'!$P32+1),0)*IF(L$58=0,0,1)*CapitalCost_ACTIVE*L$55*IF(Scenario_Select='CBA Inputs'!$T32,1,0)</f>
        <v>0</v>
      </c>
      <c r="AX75" s="17">
        <f>-IF(AND(M$58&gt;='CBA Inputs'!$P32,M$58&lt;='CBA Inputs'!$Q32),'CBA Inputs'!$O32/('CBA Inputs'!$Q32-'CBA Inputs'!$P32+1),0)*IF(M$58=0,0,1)*CapitalCost_ACTIVE*M$55*IF(Scenario_Select='CBA Inputs'!$T32,1,0)</f>
        <v>0</v>
      </c>
      <c r="AY75" s="17">
        <f>-IF(AND(N$58&gt;='CBA Inputs'!$P32,N$58&lt;='CBA Inputs'!$Q32),'CBA Inputs'!$O32/('CBA Inputs'!$Q32-'CBA Inputs'!$P32+1),0)*IF(N$58=0,0,1)*CapitalCost_ACTIVE*N$55*IF(Scenario_Select='CBA Inputs'!$T32,1,0)</f>
        <v>-114333333.33333333</v>
      </c>
      <c r="AZ75" s="17">
        <f>-IF(AND(O$58&gt;='CBA Inputs'!$P32,O$58&lt;='CBA Inputs'!$Q32),'CBA Inputs'!$O32/('CBA Inputs'!$Q32-'CBA Inputs'!$P32+1),0)*IF(O$58=0,0,1)*CapitalCost_ACTIVE*O$55*IF(Scenario_Select='CBA Inputs'!$T32,1,0)</f>
        <v>-114333333.33333333</v>
      </c>
      <c r="BA75" s="17">
        <f>-IF(AND(P$58&gt;='CBA Inputs'!$P32,P$58&lt;='CBA Inputs'!$Q32),'CBA Inputs'!$O32/('CBA Inputs'!$Q32-'CBA Inputs'!$P32+1),0)*IF(P$58=0,0,1)*CapitalCost_ACTIVE*P$55*IF(Scenario_Select='CBA Inputs'!$T32,1,0)</f>
        <v>-114333333.33333333</v>
      </c>
      <c r="BB75" s="17">
        <f>-IF(AND(Q$58&gt;='CBA Inputs'!$P32,Q$58&lt;='CBA Inputs'!$Q32),'CBA Inputs'!$O32/('CBA Inputs'!$Q32-'CBA Inputs'!$P32+1),0)*IF(Q$58=0,0,1)*CapitalCost_ACTIVE*Q$55*IF(Scenario_Select='CBA Inputs'!$T32,1,0)</f>
        <v>0</v>
      </c>
      <c r="BC75" s="17">
        <f>-IF(AND(R$58&gt;='CBA Inputs'!$P32,R$58&lt;='CBA Inputs'!$Q32),'CBA Inputs'!$O32/('CBA Inputs'!$Q32-'CBA Inputs'!$P32+1),0)*IF(R$58=0,0,1)*CapitalCost_ACTIVE*R$55*IF(Scenario_Select='CBA Inputs'!$T32,1,0)</f>
        <v>0</v>
      </c>
      <c r="BD75" s="17">
        <f>-IF(AND(S$58&gt;='CBA Inputs'!$P32,S$58&lt;='CBA Inputs'!$Q32),'CBA Inputs'!$O32/('CBA Inputs'!$Q32-'CBA Inputs'!$P32+1),0)*IF(S$58=0,0,1)*CapitalCost_ACTIVE*S$55*IF(Scenario_Select='CBA Inputs'!$T32,1,0)</f>
        <v>0</v>
      </c>
      <c r="BE75" s="17">
        <f>-IF(AND(T$58&gt;='CBA Inputs'!$P32,T$58&lt;='CBA Inputs'!$Q32),'CBA Inputs'!$O32/('CBA Inputs'!$Q32-'CBA Inputs'!$P32+1),0)*IF(T$58=0,0,1)*CapitalCost_ACTIVE*T$55*IF(Scenario_Select='CBA Inputs'!$T32,1,0)</f>
        <v>0</v>
      </c>
      <c r="BF75" s="17">
        <f>-IF(AND(U$58&gt;='CBA Inputs'!$P32,U$58&lt;='CBA Inputs'!$Q32),'CBA Inputs'!$O32/('CBA Inputs'!$Q32-'CBA Inputs'!$P32+1),0)*IF(U$58=0,0,1)*CapitalCost_ACTIVE*U$55*IF(Scenario_Select='CBA Inputs'!$T32,1,0)</f>
        <v>0</v>
      </c>
      <c r="BG75" s="17">
        <f>-IF(AND(V$58&gt;='CBA Inputs'!$P32,V$58&lt;='CBA Inputs'!$Q32),'CBA Inputs'!$O32/('CBA Inputs'!$Q32-'CBA Inputs'!$P32+1),0)*IF(V$58=0,0,1)*CapitalCost_ACTIVE*V$55*IF(Scenario_Select='CBA Inputs'!$T32,1,0)</f>
        <v>0</v>
      </c>
      <c r="BH75" s="17">
        <f>-IF(AND(W$58&gt;='CBA Inputs'!$P32,W$58&lt;='CBA Inputs'!$Q32),'CBA Inputs'!$O32/('CBA Inputs'!$Q32-'CBA Inputs'!$P32+1),0)*IF(W$58=0,0,1)*CapitalCost_ACTIVE*W$55*IF(Scenario_Select='CBA Inputs'!$T32,1,0)</f>
        <v>0</v>
      </c>
      <c r="BI75" s="17">
        <f>-IF(AND(X$58&gt;='CBA Inputs'!$P32,X$58&lt;='CBA Inputs'!$Q32),'CBA Inputs'!$O32/('CBA Inputs'!$Q32-'CBA Inputs'!$P32+1),0)*IF(X$58=0,0,1)*CapitalCost_ACTIVE*X$55*IF(Scenario_Select='CBA Inputs'!$T32,1,0)</f>
        <v>0</v>
      </c>
      <c r="BJ75" s="17">
        <f>-IF(AND(Y$58&gt;='CBA Inputs'!$P32,Y$58&lt;='CBA Inputs'!$Q32),'CBA Inputs'!$O32/('CBA Inputs'!$Q32-'CBA Inputs'!$P32+1),0)*IF(Y$58=0,0,1)*CapitalCost_ACTIVE*Y$55*IF(Scenario_Select='CBA Inputs'!$T32,1,0)</f>
        <v>0</v>
      </c>
      <c r="BK75" s="17">
        <f>-IF(AND(Z$58&gt;='CBA Inputs'!$P32,Z$58&lt;='CBA Inputs'!$Q32),'CBA Inputs'!$O32/('CBA Inputs'!$Q32-'CBA Inputs'!$P32+1),0)*IF(Z$58=0,0,1)*CapitalCost_ACTIVE*Z$55*IF(Scenario_Select='CBA Inputs'!$T32,1,0)</f>
        <v>0</v>
      </c>
      <c r="BL75" s="17">
        <f>-IF(AND(AA$58&gt;='CBA Inputs'!$P32,AA$58&lt;='CBA Inputs'!$Q32),'CBA Inputs'!$O32/('CBA Inputs'!$Q32-'CBA Inputs'!$P32+1),0)*IF(AA$58=0,0,1)*CapitalCost_ACTIVE*AA$55*IF(Scenario_Select='CBA Inputs'!$T32,1,0)</f>
        <v>0</v>
      </c>
      <c r="BM75" s="17">
        <f>-IF(AND(AB$58&gt;='CBA Inputs'!$P32,AB$58&lt;='CBA Inputs'!$Q32),'CBA Inputs'!$O32/('CBA Inputs'!$Q32-'CBA Inputs'!$P32+1),0)*IF(AB$58=0,0,1)*CapitalCost_ACTIVE*AB$55*IF(Scenario_Select='CBA Inputs'!$T32,1,0)</f>
        <v>0</v>
      </c>
      <c r="BN75" s="17">
        <f>-IF(AND(AC$58&gt;='CBA Inputs'!$P32,AC$58&lt;='CBA Inputs'!$Q32),'CBA Inputs'!$O32/('CBA Inputs'!$Q32-'CBA Inputs'!$P32+1),0)*IF(AC$58=0,0,1)*CapitalCost_ACTIVE*AC$55*IF(Scenario_Select='CBA Inputs'!$T32,1,0)</f>
        <v>0</v>
      </c>
      <c r="BO75" s="17">
        <f>-IF(AND(AD$58&gt;='CBA Inputs'!$P32,AD$58&lt;='CBA Inputs'!$Q32),'CBA Inputs'!$O32/('CBA Inputs'!$Q32-'CBA Inputs'!$P32+1),0)*IF(AD$58=0,0,1)*CapitalCost_ACTIVE*AD$55*IF(Scenario_Select='CBA Inputs'!$T32,1,0)</f>
        <v>0</v>
      </c>
      <c r="BP75" s="17">
        <f>-IF(AND(AE$58&gt;='CBA Inputs'!$P32,AE$58&lt;='CBA Inputs'!$Q32),'CBA Inputs'!$O32/('CBA Inputs'!$Q32-'CBA Inputs'!$P32+1),0)*IF(AE$58=0,0,1)*CapitalCost_ACTIVE*AE$55*IF(Scenario_Select='CBA Inputs'!$T32,1,0)</f>
        <v>0</v>
      </c>
      <c r="BQ75" s="17">
        <f>-IF(AND(AF$58&gt;='CBA Inputs'!$P32,AF$58&lt;='CBA Inputs'!$Q32),'CBA Inputs'!$O32/('CBA Inputs'!$Q32-'CBA Inputs'!$P32+1),0)*IF(AF$58=0,0,1)*CapitalCost_ACTIVE*AF$55*IF(Scenario_Select='CBA Inputs'!$T32,1,0)</f>
        <v>0</v>
      </c>
      <c r="BR75" s="17">
        <f>-IF(AND(AG$58&gt;='CBA Inputs'!$P32,AG$58&lt;='CBA Inputs'!$Q32),'CBA Inputs'!$O32/('CBA Inputs'!$Q32-'CBA Inputs'!$P32+1),0)*IF(AG$58=0,0,1)*CapitalCost_ACTIVE*AG$55*IF(Scenario_Select='CBA Inputs'!$T32,1,0)</f>
        <v>0</v>
      </c>
      <c r="BS75" s="17">
        <f>-IF(AND(AH$58&gt;='CBA Inputs'!$P32,AH$58&lt;='CBA Inputs'!$Q32),'CBA Inputs'!$O32/('CBA Inputs'!$Q32-'CBA Inputs'!$P32+1),0)*IF(AH$58=0,0,1)*CapitalCost_ACTIVE*AH$55*IF(Scenario_Select='CBA Inputs'!$T32,1,0)</f>
        <v>0</v>
      </c>
      <c r="BT75" s="17">
        <f>-IF(AND(AI$58&gt;='CBA Inputs'!$P32,AI$58&lt;='CBA Inputs'!$Q32),'CBA Inputs'!$O32/('CBA Inputs'!$Q32-'CBA Inputs'!$P32+1),0)*IF(AI$58=0,0,1)*CapitalCost_ACTIVE*AI$55*IF(Scenario_Select='CBA Inputs'!$T32,1,0)</f>
        <v>0</v>
      </c>
      <c r="BU75" s="17">
        <f>-IF(AND(AJ$58&gt;='CBA Inputs'!$P32,AJ$58&lt;='CBA Inputs'!$Q32),'CBA Inputs'!$O32/('CBA Inputs'!$Q32-'CBA Inputs'!$P32+1),0)*IF(AJ$58=0,0,1)*CapitalCost_ACTIVE*AJ$55*IF(Scenario_Select='CBA Inputs'!$T32,1,0)</f>
        <v>0</v>
      </c>
      <c r="BV75" s="178">
        <f>IFERROR(PMT(DiscountRate_ACTIVE,'CBA Inputs'!S32,'CBA Inputs'!O32),0)*IF(Scenario_Select='CBA Inputs'!$T32,1,0)</f>
        <v>-22509637.082334109</v>
      </c>
    </row>
    <row r="76" spans="1:74" x14ac:dyDescent="0.35">
      <c r="B76" s="24">
        <f>+'CBA Inputs'!B33</f>
        <v>7</v>
      </c>
      <c r="C76" s="25" t="str">
        <f>+'CBA Inputs'!C33</f>
        <v>Option 3A</v>
      </c>
      <c r="D76" s="25" t="str">
        <f>'CBA Inputs'!D33</f>
        <v>Substation</v>
      </c>
      <c r="E76" s="12" t="s">
        <v>35</v>
      </c>
      <c r="F76" s="18">
        <f t="shared" si="28"/>
        <v>-113742549.10846967</v>
      </c>
      <c r="G76" s="17">
        <f>-IF(AND(G$58&gt;='CBA Inputs'!$F33,G$58&lt;='CBA Inputs'!$G33),'CBA Inputs'!$E33/('CBA Inputs'!$G33-'CBA Inputs'!$F33+1),0)*IF(G$58=0,0,1)*CapitalCost_ACTIVE*G$55</f>
        <v>0</v>
      </c>
      <c r="H76" s="17">
        <f>-IF(AND(H$58&gt;='CBA Inputs'!$F33,H$58&lt;='CBA Inputs'!$G33),'CBA Inputs'!$E33/('CBA Inputs'!$G33-'CBA Inputs'!$F33+1),0)*IF(H$58=0,0,1)*CapitalCost_ACTIVE*H$55</f>
        <v>-32750000</v>
      </c>
      <c r="I76" s="17">
        <f>-IF(AND(I$58&gt;='CBA Inputs'!$F33,I$58&lt;='CBA Inputs'!$G33),'CBA Inputs'!$E33/('CBA Inputs'!$G33-'CBA Inputs'!$F33+1),0)*IF(I$58=0,0,1)*CapitalCost_ACTIVE*I$55</f>
        <v>-32750000</v>
      </c>
      <c r="J76" s="17">
        <f>-IF(AND(J$58&gt;='CBA Inputs'!$F33,J$58&lt;='CBA Inputs'!$G33),'CBA Inputs'!$E33/('CBA Inputs'!$G33-'CBA Inputs'!$F33+1),0)*IF(J$58=0,0,1)*CapitalCost_ACTIVE*J$55</f>
        <v>-32750000</v>
      </c>
      <c r="K76" s="17">
        <f>-IF(AND(K$58&gt;='CBA Inputs'!$F33,K$58&lt;='CBA Inputs'!$G33),'CBA Inputs'!$E33/('CBA Inputs'!$G33-'CBA Inputs'!$F33+1),0)*IF(K$58=0,0,1)*CapitalCost_ACTIVE*K$55</f>
        <v>-32750000</v>
      </c>
      <c r="L76" s="17">
        <f>-IF(AND(L$58&gt;='CBA Inputs'!$F33,L$58&lt;='CBA Inputs'!$G33),'CBA Inputs'!$E33/('CBA Inputs'!$G33-'CBA Inputs'!$F33+1),0)*IF(L$58=0,0,1)*CapitalCost_ACTIVE*L$55</f>
        <v>0</v>
      </c>
      <c r="M76" s="17">
        <f>-IF(AND(M$58&gt;='CBA Inputs'!$F33,M$58&lt;='CBA Inputs'!$G33),'CBA Inputs'!$E33/('CBA Inputs'!$G33-'CBA Inputs'!$F33+1),0)*IF(M$58=0,0,1)*CapitalCost_ACTIVE*M$55</f>
        <v>0</v>
      </c>
      <c r="N76" s="17">
        <f>-IF(AND(N$58&gt;='CBA Inputs'!$F33,N$58&lt;='CBA Inputs'!$G33),'CBA Inputs'!$E33/('CBA Inputs'!$G33-'CBA Inputs'!$F33+1),0)*IF(N$58=0,0,1)*CapitalCost_ACTIVE*N$55</f>
        <v>0</v>
      </c>
      <c r="O76" s="17">
        <f>-IF(AND(O$58&gt;='CBA Inputs'!$F33,O$58&lt;='CBA Inputs'!$G33),'CBA Inputs'!$E33/('CBA Inputs'!$G33-'CBA Inputs'!$F33+1),0)*IF(O$58=0,0,1)*CapitalCost_ACTIVE*O$55</f>
        <v>0</v>
      </c>
      <c r="P76" s="17">
        <f>-IF(AND(P$58&gt;='CBA Inputs'!$F33,P$58&lt;='CBA Inputs'!$G33),'CBA Inputs'!$E33/('CBA Inputs'!$G33-'CBA Inputs'!$F33+1),0)*IF(P$58=0,0,1)*CapitalCost_ACTIVE*P$55</f>
        <v>0</v>
      </c>
      <c r="Q76" s="17">
        <f>-IF(AND(Q$58&gt;='CBA Inputs'!$F33,Q$58&lt;='CBA Inputs'!$G33),'CBA Inputs'!$E33/('CBA Inputs'!$G33-'CBA Inputs'!$F33+1),0)*IF(Q$58=0,0,1)*CapitalCost_ACTIVE*Q$55</f>
        <v>0</v>
      </c>
      <c r="R76" s="17">
        <f>-IF(AND(R$58&gt;='CBA Inputs'!$F33,R$58&lt;='CBA Inputs'!$G33),'CBA Inputs'!$E33/('CBA Inputs'!$G33-'CBA Inputs'!$F33+1),0)*IF(R$58=0,0,1)*CapitalCost_ACTIVE*R$55</f>
        <v>0</v>
      </c>
      <c r="S76" s="17">
        <f>-IF(AND(S$58&gt;='CBA Inputs'!$F33,S$58&lt;='CBA Inputs'!$G33),'CBA Inputs'!$E33/('CBA Inputs'!$G33-'CBA Inputs'!$F33+1),0)*IF(S$58=0,0,1)*CapitalCost_ACTIVE*S$55</f>
        <v>0</v>
      </c>
      <c r="T76" s="17">
        <f>-IF(AND(T$58&gt;='CBA Inputs'!$F33,T$58&lt;='CBA Inputs'!$G33),'CBA Inputs'!$E33/('CBA Inputs'!$G33-'CBA Inputs'!$F33+1),0)*IF(T$58=0,0,1)*CapitalCost_ACTIVE*T$55</f>
        <v>0</v>
      </c>
      <c r="U76" s="17">
        <f>-IF(AND(U$58&gt;='CBA Inputs'!$F33,U$58&lt;='CBA Inputs'!$G33),'CBA Inputs'!$E33/('CBA Inputs'!$G33-'CBA Inputs'!$F33+1),0)*IF(U$58=0,0,1)*CapitalCost_ACTIVE*U$55</f>
        <v>0</v>
      </c>
      <c r="V76" s="17">
        <f>-IF(AND(V$58&gt;='CBA Inputs'!$F33,V$58&lt;='CBA Inputs'!$G33),'CBA Inputs'!$E33/('CBA Inputs'!$G33-'CBA Inputs'!$F33+1),0)*IF(V$58=0,0,1)*CapitalCost_ACTIVE*V$55</f>
        <v>0</v>
      </c>
      <c r="W76" s="17">
        <f>-IF(AND(W$58&gt;='CBA Inputs'!$F33,W$58&lt;='CBA Inputs'!$G33),'CBA Inputs'!$E33/('CBA Inputs'!$G33-'CBA Inputs'!$F33+1),0)*IF(W$58=0,0,1)*CapitalCost_ACTIVE*W$55</f>
        <v>0</v>
      </c>
      <c r="X76" s="17">
        <f>-IF(AND(X$58&gt;='CBA Inputs'!$F33,X$58&lt;='CBA Inputs'!$G33),'CBA Inputs'!$E33/('CBA Inputs'!$G33-'CBA Inputs'!$F33+1),0)*IF(X$58=0,0,1)*CapitalCost_ACTIVE*X$55</f>
        <v>0</v>
      </c>
      <c r="Y76" s="17">
        <f>-IF(AND(Y$58&gt;='CBA Inputs'!$F33,Y$58&lt;='CBA Inputs'!$G33),'CBA Inputs'!$E33/('CBA Inputs'!$G33-'CBA Inputs'!$F33+1),0)*IF(Y$58=0,0,1)*CapitalCost_ACTIVE*Y$55</f>
        <v>0</v>
      </c>
      <c r="Z76" s="17">
        <f>-IF(AND(Z$58&gt;='CBA Inputs'!$F33,Z$58&lt;='CBA Inputs'!$G33),'CBA Inputs'!$E33/('CBA Inputs'!$G33-'CBA Inputs'!$F33+1),0)*IF(Z$58=0,0,1)*CapitalCost_ACTIVE*Z$55</f>
        <v>0</v>
      </c>
      <c r="AA76" s="17">
        <f>-IF(AND(AA$58&gt;='CBA Inputs'!$F33,AA$58&lt;='CBA Inputs'!$G33),'CBA Inputs'!$E33/('CBA Inputs'!$G33-'CBA Inputs'!$F33+1),0)*IF(AA$58=0,0,1)*CapitalCost_ACTIVE*AA$55</f>
        <v>0</v>
      </c>
      <c r="AB76" s="17">
        <f>-IF(AND(AB$58&gt;='CBA Inputs'!$F33,AB$58&lt;='CBA Inputs'!$G33),'CBA Inputs'!$E33/('CBA Inputs'!$G33-'CBA Inputs'!$F33+1),0)*IF(AB$58=0,0,1)*CapitalCost_ACTIVE*AB$55</f>
        <v>0</v>
      </c>
      <c r="AC76" s="17">
        <f>-IF(AND(AC$58&gt;='CBA Inputs'!$F33,AC$58&lt;='CBA Inputs'!$G33),'CBA Inputs'!$E33/('CBA Inputs'!$G33-'CBA Inputs'!$F33+1),0)*IF(AC$58=0,0,1)*CapitalCost_ACTIVE*AC$55</f>
        <v>0</v>
      </c>
      <c r="AD76" s="17">
        <f>-IF(AND(AD$58&gt;='CBA Inputs'!$F33,AD$58&lt;='CBA Inputs'!$G33),'CBA Inputs'!$E33/('CBA Inputs'!$G33-'CBA Inputs'!$F33+1),0)*IF(AD$58=0,0,1)*CapitalCost_ACTIVE*AD$55</f>
        <v>0</v>
      </c>
      <c r="AE76" s="17">
        <f>-IF(AND(AE$58&gt;='CBA Inputs'!$F33,AE$58&lt;='CBA Inputs'!$G33),'CBA Inputs'!$E33/('CBA Inputs'!$G33-'CBA Inputs'!$F33+1),0)*IF(AE$58=0,0,1)*CapitalCost_ACTIVE*AE$55</f>
        <v>0</v>
      </c>
      <c r="AF76" s="17">
        <f>-IF(AND(AF$58&gt;='CBA Inputs'!$F33,AF$58&lt;='CBA Inputs'!$G33),'CBA Inputs'!$E33/('CBA Inputs'!$G33-'CBA Inputs'!$F33+1),0)*IF(AF$58=0,0,1)*CapitalCost_ACTIVE*AF$55</f>
        <v>0</v>
      </c>
      <c r="AG76" s="17">
        <f>-IF(AND(AG$58&gt;='CBA Inputs'!$F33,AG$58&lt;='CBA Inputs'!$G33),'CBA Inputs'!$E33/('CBA Inputs'!$G33-'CBA Inputs'!$F33+1),0)*IF(AG$58=0,0,1)*CapitalCost_ACTIVE*AG$55</f>
        <v>0</v>
      </c>
      <c r="AH76" s="17">
        <f>-IF(AND(AH$58&gt;='CBA Inputs'!$F33,AH$58&lt;='CBA Inputs'!$G33),'CBA Inputs'!$E33/('CBA Inputs'!$G33-'CBA Inputs'!$F33+1),0)*IF(AH$58=0,0,1)*CapitalCost_ACTIVE*AH$55</f>
        <v>0</v>
      </c>
      <c r="AI76" s="17">
        <f>-IF(AND(AI$58&gt;='CBA Inputs'!$F33,AI$58&lt;='CBA Inputs'!$G33),'CBA Inputs'!$E33/('CBA Inputs'!$G33-'CBA Inputs'!$F33+1),0)*IF(AI$58=0,0,1)*CapitalCost_ACTIVE*AI$55</f>
        <v>0</v>
      </c>
      <c r="AJ76" s="17">
        <f>-IF(AND(AJ$58&gt;='CBA Inputs'!$F33,AJ$58&lt;='CBA Inputs'!$G33),'CBA Inputs'!$E33/('CBA Inputs'!$G33-'CBA Inputs'!$F33+1),0)*IF(AJ$58=0,0,1)*CapitalCost_ACTIVE*AJ$55</f>
        <v>0</v>
      </c>
      <c r="AK76" s="178">
        <f>IFERROR(PMT(DiscountRate_ACTIVE,'CBA Inputs'!I33,'CBA Inputs'!E33),0)</f>
        <v>-8596975.0955853295</v>
      </c>
      <c r="AM76" s="24">
        <f>'CBA Inputs'!L33</f>
        <v>11</v>
      </c>
      <c r="AN76" s="24" t="str">
        <f>'CBA Inputs'!M33</f>
        <v>Option 4B</v>
      </c>
      <c r="AO76" s="24" t="str">
        <f>'CBA Inputs'!N33</f>
        <v>Substation</v>
      </c>
      <c r="AP76" s="12" t="s">
        <v>35</v>
      </c>
      <c r="AQ76" s="18">
        <f t="shared" si="29"/>
        <v>0</v>
      </c>
      <c r="AR76" s="17">
        <f>-IF(AND(G$58&gt;='CBA Inputs'!$P33,G$58&lt;='CBA Inputs'!$Q33),'CBA Inputs'!$O33/('CBA Inputs'!$Q33-'CBA Inputs'!$P33+1),0)*IF(G$58=0,0,1)*CapitalCost_ACTIVE*G$55*IF(Scenario_Select='CBA Inputs'!$T33,1,0)</f>
        <v>0</v>
      </c>
      <c r="AS76" s="17">
        <f>-IF(AND(H$58&gt;='CBA Inputs'!$P33,H$58&lt;='CBA Inputs'!$Q33),'CBA Inputs'!$O33/('CBA Inputs'!$Q33-'CBA Inputs'!$P33+1),0)*IF(H$58=0,0,1)*CapitalCost_ACTIVE*H$55*IF(Scenario_Select='CBA Inputs'!$T33,1,0)</f>
        <v>0</v>
      </c>
      <c r="AT76" s="17">
        <f>-IF(AND(I$58&gt;='CBA Inputs'!$P33,I$58&lt;='CBA Inputs'!$Q33),'CBA Inputs'!$O33/('CBA Inputs'!$Q33-'CBA Inputs'!$P33+1),0)*IF(I$58=0,0,1)*CapitalCost_ACTIVE*I$55*IF(Scenario_Select='CBA Inputs'!$T33,1,0)</f>
        <v>0</v>
      </c>
      <c r="AU76" s="17">
        <f>-IF(AND(J$58&gt;='CBA Inputs'!$P33,J$58&lt;='CBA Inputs'!$Q33),'CBA Inputs'!$O33/('CBA Inputs'!$Q33-'CBA Inputs'!$P33+1),0)*IF(J$58=0,0,1)*CapitalCost_ACTIVE*J$55*IF(Scenario_Select='CBA Inputs'!$T33,1,0)</f>
        <v>0</v>
      </c>
      <c r="AV76" s="17">
        <f>-IF(AND(K$58&gt;='CBA Inputs'!$P33,K$58&lt;='CBA Inputs'!$Q33),'CBA Inputs'!$O33/('CBA Inputs'!$Q33-'CBA Inputs'!$P33+1),0)*IF(K$58=0,0,1)*CapitalCost_ACTIVE*K$55*IF(Scenario_Select='CBA Inputs'!$T33,1,0)</f>
        <v>0</v>
      </c>
      <c r="AW76" s="17">
        <f>-IF(AND(L$58&gt;='CBA Inputs'!$P33,L$58&lt;='CBA Inputs'!$Q33),'CBA Inputs'!$O33/('CBA Inputs'!$Q33-'CBA Inputs'!$P33+1),0)*IF(L$58=0,0,1)*CapitalCost_ACTIVE*L$55*IF(Scenario_Select='CBA Inputs'!$T33,1,0)</f>
        <v>0</v>
      </c>
      <c r="AX76" s="17">
        <f>-IF(AND(M$58&gt;='CBA Inputs'!$P33,M$58&lt;='CBA Inputs'!$Q33),'CBA Inputs'!$O33/('CBA Inputs'!$Q33-'CBA Inputs'!$P33+1),0)*IF(M$58=0,0,1)*CapitalCost_ACTIVE*M$55*IF(Scenario_Select='CBA Inputs'!$T33,1,0)</f>
        <v>0</v>
      </c>
      <c r="AY76" s="17">
        <f>-IF(AND(N$58&gt;='CBA Inputs'!$P33,N$58&lt;='CBA Inputs'!$Q33),'CBA Inputs'!$O33/('CBA Inputs'!$Q33-'CBA Inputs'!$P33+1),0)*IF(N$58=0,0,1)*CapitalCost_ACTIVE*N$55*IF(Scenario_Select='CBA Inputs'!$T33,1,0)</f>
        <v>0</v>
      </c>
      <c r="AZ76" s="17">
        <f>-IF(AND(O$58&gt;='CBA Inputs'!$P33,O$58&lt;='CBA Inputs'!$Q33),'CBA Inputs'!$O33/('CBA Inputs'!$Q33-'CBA Inputs'!$P33+1),0)*IF(O$58=0,0,1)*CapitalCost_ACTIVE*O$55*IF(Scenario_Select='CBA Inputs'!$T33,1,0)</f>
        <v>0</v>
      </c>
      <c r="BA76" s="17">
        <f>-IF(AND(P$58&gt;='CBA Inputs'!$P33,P$58&lt;='CBA Inputs'!$Q33),'CBA Inputs'!$O33/('CBA Inputs'!$Q33-'CBA Inputs'!$P33+1),0)*IF(P$58=0,0,1)*CapitalCost_ACTIVE*P$55*IF(Scenario_Select='CBA Inputs'!$T33,1,0)</f>
        <v>0</v>
      </c>
      <c r="BB76" s="17">
        <f>-IF(AND(Q$58&gt;='CBA Inputs'!$P33,Q$58&lt;='CBA Inputs'!$Q33),'CBA Inputs'!$O33/('CBA Inputs'!$Q33-'CBA Inputs'!$P33+1),0)*IF(Q$58=0,0,1)*CapitalCost_ACTIVE*Q$55*IF(Scenario_Select='CBA Inputs'!$T33,1,0)</f>
        <v>0</v>
      </c>
      <c r="BC76" s="17">
        <f>-IF(AND(R$58&gt;='CBA Inputs'!$P33,R$58&lt;='CBA Inputs'!$Q33),'CBA Inputs'!$O33/('CBA Inputs'!$Q33-'CBA Inputs'!$P33+1),0)*IF(R$58=0,0,1)*CapitalCost_ACTIVE*R$55*IF(Scenario_Select='CBA Inputs'!$T33,1,0)</f>
        <v>0</v>
      </c>
      <c r="BD76" s="17">
        <f>-IF(AND(S$58&gt;='CBA Inputs'!$P33,S$58&lt;='CBA Inputs'!$Q33),'CBA Inputs'!$O33/('CBA Inputs'!$Q33-'CBA Inputs'!$P33+1),0)*IF(S$58=0,0,1)*CapitalCost_ACTIVE*S$55*IF(Scenario_Select='CBA Inputs'!$T33,1,0)</f>
        <v>0</v>
      </c>
      <c r="BE76" s="17">
        <f>-IF(AND(T$58&gt;='CBA Inputs'!$P33,T$58&lt;='CBA Inputs'!$Q33),'CBA Inputs'!$O33/('CBA Inputs'!$Q33-'CBA Inputs'!$P33+1),0)*IF(T$58=0,0,1)*CapitalCost_ACTIVE*T$55*IF(Scenario_Select='CBA Inputs'!$T33,1,0)</f>
        <v>0</v>
      </c>
      <c r="BF76" s="17">
        <f>-IF(AND(U$58&gt;='CBA Inputs'!$P33,U$58&lt;='CBA Inputs'!$Q33),'CBA Inputs'!$O33/('CBA Inputs'!$Q33-'CBA Inputs'!$P33+1),0)*IF(U$58=0,0,1)*CapitalCost_ACTIVE*U$55*IF(Scenario_Select='CBA Inputs'!$T33,1,0)</f>
        <v>0</v>
      </c>
      <c r="BG76" s="17">
        <f>-IF(AND(V$58&gt;='CBA Inputs'!$P33,V$58&lt;='CBA Inputs'!$Q33),'CBA Inputs'!$O33/('CBA Inputs'!$Q33-'CBA Inputs'!$P33+1),0)*IF(V$58=0,0,1)*CapitalCost_ACTIVE*V$55*IF(Scenario_Select='CBA Inputs'!$T33,1,0)</f>
        <v>0</v>
      </c>
      <c r="BH76" s="17">
        <f>-IF(AND(W$58&gt;='CBA Inputs'!$P33,W$58&lt;='CBA Inputs'!$Q33),'CBA Inputs'!$O33/('CBA Inputs'!$Q33-'CBA Inputs'!$P33+1),0)*IF(W$58=0,0,1)*CapitalCost_ACTIVE*W$55*IF(Scenario_Select='CBA Inputs'!$T33,1,0)</f>
        <v>0</v>
      </c>
      <c r="BI76" s="17">
        <f>-IF(AND(X$58&gt;='CBA Inputs'!$P33,X$58&lt;='CBA Inputs'!$Q33),'CBA Inputs'!$O33/('CBA Inputs'!$Q33-'CBA Inputs'!$P33+1),0)*IF(X$58=0,0,1)*CapitalCost_ACTIVE*X$55*IF(Scenario_Select='CBA Inputs'!$T33,1,0)</f>
        <v>0</v>
      </c>
      <c r="BJ76" s="17">
        <f>-IF(AND(Y$58&gt;='CBA Inputs'!$P33,Y$58&lt;='CBA Inputs'!$Q33),'CBA Inputs'!$O33/('CBA Inputs'!$Q33-'CBA Inputs'!$P33+1),0)*IF(Y$58=0,0,1)*CapitalCost_ACTIVE*Y$55*IF(Scenario_Select='CBA Inputs'!$T33,1,0)</f>
        <v>0</v>
      </c>
      <c r="BK76" s="17">
        <f>-IF(AND(Z$58&gt;='CBA Inputs'!$P33,Z$58&lt;='CBA Inputs'!$Q33),'CBA Inputs'!$O33/('CBA Inputs'!$Q33-'CBA Inputs'!$P33+1),0)*IF(Z$58=0,0,1)*CapitalCost_ACTIVE*Z$55*IF(Scenario_Select='CBA Inputs'!$T33,1,0)</f>
        <v>0</v>
      </c>
      <c r="BL76" s="17">
        <f>-IF(AND(AA$58&gt;='CBA Inputs'!$P33,AA$58&lt;='CBA Inputs'!$Q33),'CBA Inputs'!$O33/('CBA Inputs'!$Q33-'CBA Inputs'!$P33+1),0)*IF(AA$58=0,0,1)*CapitalCost_ACTIVE*AA$55*IF(Scenario_Select='CBA Inputs'!$T33,1,0)</f>
        <v>0</v>
      </c>
      <c r="BM76" s="17">
        <f>-IF(AND(AB$58&gt;='CBA Inputs'!$P33,AB$58&lt;='CBA Inputs'!$Q33),'CBA Inputs'!$O33/('CBA Inputs'!$Q33-'CBA Inputs'!$P33+1),0)*IF(AB$58=0,0,1)*CapitalCost_ACTIVE*AB$55*IF(Scenario_Select='CBA Inputs'!$T33,1,0)</f>
        <v>0</v>
      </c>
      <c r="BN76" s="17">
        <f>-IF(AND(AC$58&gt;='CBA Inputs'!$P33,AC$58&lt;='CBA Inputs'!$Q33),'CBA Inputs'!$O33/('CBA Inputs'!$Q33-'CBA Inputs'!$P33+1),0)*IF(AC$58=0,0,1)*CapitalCost_ACTIVE*AC$55*IF(Scenario_Select='CBA Inputs'!$T33,1,0)</f>
        <v>0</v>
      </c>
      <c r="BO76" s="17">
        <f>-IF(AND(AD$58&gt;='CBA Inputs'!$P33,AD$58&lt;='CBA Inputs'!$Q33),'CBA Inputs'!$O33/('CBA Inputs'!$Q33-'CBA Inputs'!$P33+1),0)*IF(AD$58=0,0,1)*CapitalCost_ACTIVE*AD$55*IF(Scenario_Select='CBA Inputs'!$T33,1,0)</f>
        <v>0</v>
      </c>
      <c r="BP76" s="17">
        <f>-IF(AND(AE$58&gt;='CBA Inputs'!$P33,AE$58&lt;='CBA Inputs'!$Q33),'CBA Inputs'!$O33/('CBA Inputs'!$Q33-'CBA Inputs'!$P33+1),0)*IF(AE$58=0,0,1)*CapitalCost_ACTIVE*AE$55*IF(Scenario_Select='CBA Inputs'!$T33,1,0)</f>
        <v>0</v>
      </c>
      <c r="BQ76" s="17">
        <f>-IF(AND(AF$58&gt;='CBA Inputs'!$P33,AF$58&lt;='CBA Inputs'!$Q33),'CBA Inputs'!$O33/('CBA Inputs'!$Q33-'CBA Inputs'!$P33+1),0)*IF(AF$58=0,0,1)*CapitalCost_ACTIVE*AF$55*IF(Scenario_Select='CBA Inputs'!$T33,1,0)</f>
        <v>0</v>
      </c>
      <c r="BR76" s="17">
        <f>-IF(AND(AG$58&gt;='CBA Inputs'!$P33,AG$58&lt;='CBA Inputs'!$Q33),'CBA Inputs'!$O33/('CBA Inputs'!$Q33-'CBA Inputs'!$P33+1),0)*IF(AG$58=0,0,1)*CapitalCost_ACTIVE*AG$55*IF(Scenario_Select='CBA Inputs'!$T33,1,0)</f>
        <v>0</v>
      </c>
      <c r="BS76" s="17">
        <f>-IF(AND(AH$58&gt;='CBA Inputs'!$P33,AH$58&lt;='CBA Inputs'!$Q33),'CBA Inputs'!$O33/('CBA Inputs'!$Q33-'CBA Inputs'!$P33+1),0)*IF(AH$58=0,0,1)*CapitalCost_ACTIVE*AH$55*IF(Scenario_Select='CBA Inputs'!$T33,1,0)</f>
        <v>0</v>
      </c>
      <c r="BT76" s="17">
        <f>-IF(AND(AI$58&gt;='CBA Inputs'!$P33,AI$58&lt;='CBA Inputs'!$Q33),'CBA Inputs'!$O33/('CBA Inputs'!$Q33-'CBA Inputs'!$P33+1),0)*IF(AI$58=0,0,1)*CapitalCost_ACTIVE*AI$55*IF(Scenario_Select='CBA Inputs'!$T33,1,0)</f>
        <v>0</v>
      </c>
      <c r="BU76" s="17">
        <f>-IF(AND(AJ$58&gt;='CBA Inputs'!$P33,AJ$58&lt;='CBA Inputs'!$Q33),'CBA Inputs'!$O33/('CBA Inputs'!$Q33-'CBA Inputs'!$P33+1),0)*IF(AJ$58=0,0,1)*CapitalCost_ACTIVE*AJ$55*IF(Scenario_Select='CBA Inputs'!$T33,1,0)</f>
        <v>0</v>
      </c>
      <c r="BV76" s="178">
        <f>IFERROR(PMT(DiscountRate_ACTIVE,'CBA Inputs'!S33,'CBA Inputs'!O33),0)*IF(Scenario_Select='CBA Inputs'!$T33,1,0)</f>
        <v>0</v>
      </c>
    </row>
    <row r="77" spans="1:74" x14ac:dyDescent="0.35">
      <c r="B77" s="24">
        <f>+'CBA Inputs'!B34</f>
        <v>8</v>
      </c>
      <c r="C77" s="25" t="str">
        <f>+'CBA Inputs'!C34</f>
        <v>Option 3B</v>
      </c>
      <c r="D77" s="25" t="str">
        <f>'CBA Inputs'!D34</f>
        <v>Lines</v>
      </c>
      <c r="E77" s="12" t="s">
        <v>35</v>
      </c>
      <c r="F77" s="18">
        <f t="shared" si="28"/>
        <v>-946407469.68115985</v>
      </c>
      <c r="G77" s="17">
        <f>-IF(AND(G$58&gt;='CBA Inputs'!$F34,G$58&lt;='CBA Inputs'!$G34),'CBA Inputs'!$E34/('CBA Inputs'!$G34-'CBA Inputs'!$F34+1),0)*IF(G$58=0,0,1)*CapitalCost_ACTIVE*G$55</f>
        <v>0</v>
      </c>
      <c r="H77" s="17">
        <f>-IF(AND(H$58&gt;='CBA Inputs'!$F34,H$58&lt;='CBA Inputs'!$G34),'CBA Inputs'!$E34/('CBA Inputs'!$G34-'CBA Inputs'!$F34+1),0)*IF(H$58=0,0,1)*CapitalCost_ACTIVE*H$55</f>
        <v>-272500000</v>
      </c>
      <c r="I77" s="17">
        <f>-IF(AND(I$58&gt;='CBA Inputs'!$F34,I$58&lt;='CBA Inputs'!$G34),'CBA Inputs'!$E34/('CBA Inputs'!$G34-'CBA Inputs'!$F34+1),0)*IF(I$58=0,0,1)*CapitalCost_ACTIVE*I$55</f>
        <v>-272500000</v>
      </c>
      <c r="J77" s="17">
        <f>-IF(AND(J$58&gt;='CBA Inputs'!$F34,J$58&lt;='CBA Inputs'!$G34),'CBA Inputs'!$E34/('CBA Inputs'!$G34-'CBA Inputs'!$F34+1),0)*IF(J$58=0,0,1)*CapitalCost_ACTIVE*J$55</f>
        <v>-272500000</v>
      </c>
      <c r="K77" s="17">
        <f>-IF(AND(K$58&gt;='CBA Inputs'!$F34,K$58&lt;='CBA Inputs'!$G34),'CBA Inputs'!$E34/('CBA Inputs'!$G34-'CBA Inputs'!$F34+1),0)*IF(K$58=0,0,1)*CapitalCost_ACTIVE*K$55</f>
        <v>-272500000</v>
      </c>
      <c r="L77" s="17">
        <f>-IF(AND(L$58&gt;='CBA Inputs'!$F34,L$58&lt;='CBA Inputs'!$G34),'CBA Inputs'!$E34/('CBA Inputs'!$G34-'CBA Inputs'!$F34+1),0)*IF(L$58=0,0,1)*CapitalCost_ACTIVE*L$55</f>
        <v>0</v>
      </c>
      <c r="M77" s="17">
        <f>-IF(AND(M$58&gt;='CBA Inputs'!$F34,M$58&lt;='CBA Inputs'!$G34),'CBA Inputs'!$E34/('CBA Inputs'!$G34-'CBA Inputs'!$F34+1),0)*IF(M$58=0,0,1)*CapitalCost_ACTIVE*M$55</f>
        <v>0</v>
      </c>
      <c r="N77" s="17">
        <f>-IF(AND(N$58&gt;='CBA Inputs'!$F34,N$58&lt;='CBA Inputs'!$G34),'CBA Inputs'!$E34/('CBA Inputs'!$G34-'CBA Inputs'!$F34+1),0)*IF(N$58=0,0,1)*CapitalCost_ACTIVE*N$55</f>
        <v>0</v>
      </c>
      <c r="O77" s="17">
        <f>-IF(AND(O$58&gt;='CBA Inputs'!$F34,O$58&lt;='CBA Inputs'!$G34),'CBA Inputs'!$E34/('CBA Inputs'!$G34-'CBA Inputs'!$F34+1),0)*IF(O$58=0,0,1)*CapitalCost_ACTIVE*O$55</f>
        <v>0</v>
      </c>
      <c r="P77" s="17">
        <f>-IF(AND(P$58&gt;='CBA Inputs'!$F34,P$58&lt;='CBA Inputs'!$G34),'CBA Inputs'!$E34/('CBA Inputs'!$G34-'CBA Inputs'!$F34+1),0)*IF(P$58=0,0,1)*CapitalCost_ACTIVE*P$55</f>
        <v>0</v>
      </c>
      <c r="Q77" s="17">
        <f>-IF(AND(Q$58&gt;='CBA Inputs'!$F34,Q$58&lt;='CBA Inputs'!$G34),'CBA Inputs'!$E34/('CBA Inputs'!$G34-'CBA Inputs'!$F34+1),0)*IF(Q$58=0,0,1)*CapitalCost_ACTIVE*Q$55</f>
        <v>0</v>
      </c>
      <c r="R77" s="17">
        <f>-IF(AND(R$58&gt;='CBA Inputs'!$F34,R$58&lt;='CBA Inputs'!$G34),'CBA Inputs'!$E34/('CBA Inputs'!$G34-'CBA Inputs'!$F34+1),0)*IF(R$58=0,0,1)*CapitalCost_ACTIVE*R$55</f>
        <v>0</v>
      </c>
      <c r="S77" s="17">
        <f>-IF(AND(S$58&gt;='CBA Inputs'!$F34,S$58&lt;='CBA Inputs'!$G34),'CBA Inputs'!$E34/('CBA Inputs'!$G34-'CBA Inputs'!$F34+1),0)*IF(S$58=0,0,1)*CapitalCost_ACTIVE*S$55</f>
        <v>0</v>
      </c>
      <c r="T77" s="17">
        <f>-IF(AND(T$58&gt;='CBA Inputs'!$F34,T$58&lt;='CBA Inputs'!$G34),'CBA Inputs'!$E34/('CBA Inputs'!$G34-'CBA Inputs'!$F34+1),0)*IF(T$58=0,0,1)*CapitalCost_ACTIVE*T$55</f>
        <v>0</v>
      </c>
      <c r="U77" s="17">
        <f>-IF(AND(U$58&gt;='CBA Inputs'!$F34,U$58&lt;='CBA Inputs'!$G34),'CBA Inputs'!$E34/('CBA Inputs'!$G34-'CBA Inputs'!$F34+1),0)*IF(U$58=0,0,1)*CapitalCost_ACTIVE*U$55</f>
        <v>0</v>
      </c>
      <c r="V77" s="17">
        <f>-IF(AND(V$58&gt;='CBA Inputs'!$F34,V$58&lt;='CBA Inputs'!$G34),'CBA Inputs'!$E34/('CBA Inputs'!$G34-'CBA Inputs'!$F34+1),0)*IF(V$58=0,0,1)*CapitalCost_ACTIVE*V$55</f>
        <v>0</v>
      </c>
      <c r="W77" s="17">
        <f>-IF(AND(W$58&gt;='CBA Inputs'!$F34,W$58&lt;='CBA Inputs'!$G34),'CBA Inputs'!$E34/('CBA Inputs'!$G34-'CBA Inputs'!$F34+1),0)*IF(W$58=0,0,1)*CapitalCost_ACTIVE*W$55</f>
        <v>0</v>
      </c>
      <c r="X77" s="17">
        <f>-IF(AND(X$58&gt;='CBA Inputs'!$F34,X$58&lt;='CBA Inputs'!$G34),'CBA Inputs'!$E34/('CBA Inputs'!$G34-'CBA Inputs'!$F34+1),0)*IF(X$58=0,0,1)*CapitalCost_ACTIVE*X$55</f>
        <v>0</v>
      </c>
      <c r="Y77" s="17">
        <f>-IF(AND(Y$58&gt;='CBA Inputs'!$F34,Y$58&lt;='CBA Inputs'!$G34),'CBA Inputs'!$E34/('CBA Inputs'!$G34-'CBA Inputs'!$F34+1),0)*IF(Y$58=0,0,1)*CapitalCost_ACTIVE*Y$55</f>
        <v>0</v>
      </c>
      <c r="Z77" s="17">
        <f>-IF(AND(Z$58&gt;='CBA Inputs'!$F34,Z$58&lt;='CBA Inputs'!$G34),'CBA Inputs'!$E34/('CBA Inputs'!$G34-'CBA Inputs'!$F34+1),0)*IF(Z$58=0,0,1)*CapitalCost_ACTIVE*Z$55</f>
        <v>0</v>
      </c>
      <c r="AA77" s="17">
        <f>-IF(AND(AA$58&gt;='CBA Inputs'!$F34,AA$58&lt;='CBA Inputs'!$G34),'CBA Inputs'!$E34/('CBA Inputs'!$G34-'CBA Inputs'!$F34+1),0)*IF(AA$58=0,0,1)*CapitalCost_ACTIVE*AA$55</f>
        <v>0</v>
      </c>
      <c r="AB77" s="17">
        <f>-IF(AND(AB$58&gt;='CBA Inputs'!$F34,AB$58&lt;='CBA Inputs'!$G34),'CBA Inputs'!$E34/('CBA Inputs'!$G34-'CBA Inputs'!$F34+1),0)*IF(AB$58=0,0,1)*CapitalCost_ACTIVE*AB$55</f>
        <v>0</v>
      </c>
      <c r="AC77" s="17">
        <f>-IF(AND(AC$58&gt;='CBA Inputs'!$F34,AC$58&lt;='CBA Inputs'!$G34),'CBA Inputs'!$E34/('CBA Inputs'!$G34-'CBA Inputs'!$F34+1),0)*IF(AC$58=0,0,1)*CapitalCost_ACTIVE*AC$55</f>
        <v>0</v>
      </c>
      <c r="AD77" s="17">
        <f>-IF(AND(AD$58&gt;='CBA Inputs'!$F34,AD$58&lt;='CBA Inputs'!$G34),'CBA Inputs'!$E34/('CBA Inputs'!$G34-'CBA Inputs'!$F34+1),0)*IF(AD$58=0,0,1)*CapitalCost_ACTIVE*AD$55</f>
        <v>0</v>
      </c>
      <c r="AE77" s="17">
        <f>-IF(AND(AE$58&gt;='CBA Inputs'!$F34,AE$58&lt;='CBA Inputs'!$G34),'CBA Inputs'!$E34/('CBA Inputs'!$G34-'CBA Inputs'!$F34+1),0)*IF(AE$58=0,0,1)*CapitalCost_ACTIVE*AE$55</f>
        <v>0</v>
      </c>
      <c r="AF77" s="17">
        <f>-IF(AND(AF$58&gt;='CBA Inputs'!$F34,AF$58&lt;='CBA Inputs'!$G34),'CBA Inputs'!$E34/('CBA Inputs'!$G34-'CBA Inputs'!$F34+1),0)*IF(AF$58=0,0,1)*CapitalCost_ACTIVE*AF$55</f>
        <v>0</v>
      </c>
      <c r="AG77" s="17">
        <f>-IF(AND(AG$58&gt;='CBA Inputs'!$F34,AG$58&lt;='CBA Inputs'!$G34),'CBA Inputs'!$E34/('CBA Inputs'!$G34-'CBA Inputs'!$F34+1),0)*IF(AG$58=0,0,1)*CapitalCost_ACTIVE*AG$55</f>
        <v>0</v>
      </c>
      <c r="AH77" s="17">
        <f>-IF(AND(AH$58&gt;='CBA Inputs'!$F34,AH$58&lt;='CBA Inputs'!$G34),'CBA Inputs'!$E34/('CBA Inputs'!$G34-'CBA Inputs'!$F34+1),0)*IF(AH$58=0,0,1)*CapitalCost_ACTIVE*AH$55</f>
        <v>0</v>
      </c>
      <c r="AI77" s="17">
        <f>-IF(AND(AI$58&gt;='CBA Inputs'!$F34,AI$58&lt;='CBA Inputs'!$G34),'CBA Inputs'!$E34/('CBA Inputs'!$G34-'CBA Inputs'!$F34+1),0)*IF(AI$58=0,0,1)*CapitalCost_ACTIVE*AI$55</f>
        <v>0</v>
      </c>
      <c r="AJ77" s="17">
        <f>-IF(AND(AJ$58&gt;='CBA Inputs'!$F34,AJ$58&lt;='CBA Inputs'!$G34),'CBA Inputs'!$E34/('CBA Inputs'!$G34-'CBA Inputs'!$F34+1),0)*IF(AJ$58=0,0,1)*CapitalCost_ACTIVE*AJ$55</f>
        <v>0</v>
      </c>
      <c r="AK77" s="178">
        <f>IFERROR(PMT(DiscountRate_ACTIVE,'CBA Inputs'!I34,'CBA Inputs'!E34),0)</f>
        <v>-68190861.764331758</v>
      </c>
      <c r="AM77" s="24">
        <f>'CBA Inputs'!L34</f>
        <v>11</v>
      </c>
      <c r="AN77" s="24" t="str">
        <f>'CBA Inputs'!M34</f>
        <v>Option 4B</v>
      </c>
      <c r="AO77" s="24" t="str">
        <f>'CBA Inputs'!N34</f>
        <v>Substation</v>
      </c>
      <c r="AP77" s="12" t="s">
        <v>35</v>
      </c>
      <c r="AQ77" s="18">
        <f t="shared" si="29"/>
        <v>0</v>
      </c>
      <c r="AR77" s="17">
        <f>-IF(AND(G$58&gt;='CBA Inputs'!$P34,G$58&lt;='CBA Inputs'!$Q34),'CBA Inputs'!$O34/('CBA Inputs'!$Q34-'CBA Inputs'!$P34+1),0)*IF(G$58=0,0,1)*CapitalCost_ACTIVE*G$55*IF(Scenario_Select='CBA Inputs'!$T34,1,0)</f>
        <v>0</v>
      </c>
      <c r="AS77" s="17">
        <f>-IF(AND(H$58&gt;='CBA Inputs'!$P34,H$58&lt;='CBA Inputs'!$Q34),'CBA Inputs'!$O34/('CBA Inputs'!$Q34-'CBA Inputs'!$P34+1),0)*IF(H$58=0,0,1)*CapitalCost_ACTIVE*H$55*IF(Scenario_Select='CBA Inputs'!$T34,1,0)</f>
        <v>0</v>
      </c>
      <c r="AT77" s="17">
        <f>-IF(AND(I$58&gt;='CBA Inputs'!$P34,I$58&lt;='CBA Inputs'!$Q34),'CBA Inputs'!$O34/('CBA Inputs'!$Q34-'CBA Inputs'!$P34+1),0)*IF(I$58=0,0,1)*CapitalCost_ACTIVE*I$55*IF(Scenario_Select='CBA Inputs'!$T34,1,0)</f>
        <v>0</v>
      </c>
      <c r="AU77" s="17">
        <f>-IF(AND(J$58&gt;='CBA Inputs'!$P34,J$58&lt;='CBA Inputs'!$Q34),'CBA Inputs'!$O34/('CBA Inputs'!$Q34-'CBA Inputs'!$P34+1),0)*IF(J$58=0,0,1)*CapitalCost_ACTIVE*J$55*IF(Scenario_Select='CBA Inputs'!$T34,1,0)</f>
        <v>0</v>
      </c>
      <c r="AV77" s="17">
        <f>-IF(AND(K$58&gt;='CBA Inputs'!$P34,K$58&lt;='CBA Inputs'!$Q34),'CBA Inputs'!$O34/('CBA Inputs'!$Q34-'CBA Inputs'!$P34+1),0)*IF(K$58=0,0,1)*CapitalCost_ACTIVE*K$55*IF(Scenario_Select='CBA Inputs'!$T34,1,0)</f>
        <v>0</v>
      </c>
      <c r="AW77" s="17">
        <f>-IF(AND(L$58&gt;='CBA Inputs'!$P34,L$58&lt;='CBA Inputs'!$Q34),'CBA Inputs'!$O34/('CBA Inputs'!$Q34-'CBA Inputs'!$P34+1),0)*IF(L$58=0,0,1)*CapitalCost_ACTIVE*L$55*IF(Scenario_Select='CBA Inputs'!$T34,1,0)</f>
        <v>0</v>
      </c>
      <c r="AX77" s="17">
        <f>-IF(AND(M$58&gt;='CBA Inputs'!$P34,M$58&lt;='CBA Inputs'!$Q34),'CBA Inputs'!$O34/('CBA Inputs'!$Q34-'CBA Inputs'!$P34+1),0)*IF(M$58=0,0,1)*CapitalCost_ACTIVE*M$55*IF(Scenario_Select='CBA Inputs'!$T34,1,0)</f>
        <v>0</v>
      </c>
      <c r="AY77" s="17">
        <f>-IF(AND(N$58&gt;='CBA Inputs'!$P34,N$58&lt;='CBA Inputs'!$Q34),'CBA Inputs'!$O34/('CBA Inputs'!$Q34-'CBA Inputs'!$P34+1),0)*IF(N$58=0,0,1)*CapitalCost_ACTIVE*N$55*IF(Scenario_Select='CBA Inputs'!$T34,1,0)</f>
        <v>0</v>
      </c>
      <c r="AZ77" s="17">
        <f>-IF(AND(O$58&gt;='CBA Inputs'!$P34,O$58&lt;='CBA Inputs'!$Q34),'CBA Inputs'!$O34/('CBA Inputs'!$Q34-'CBA Inputs'!$P34+1),0)*IF(O$58=0,0,1)*CapitalCost_ACTIVE*O$55*IF(Scenario_Select='CBA Inputs'!$T34,1,0)</f>
        <v>0</v>
      </c>
      <c r="BA77" s="17">
        <f>-IF(AND(P$58&gt;='CBA Inputs'!$P34,P$58&lt;='CBA Inputs'!$Q34),'CBA Inputs'!$O34/('CBA Inputs'!$Q34-'CBA Inputs'!$P34+1),0)*IF(P$58=0,0,1)*CapitalCost_ACTIVE*P$55*IF(Scenario_Select='CBA Inputs'!$T34,1,0)</f>
        <v>0</v>
      </c>
      <c r="BB77" s="17">
        <f>-IF(AND(Q$58&gt;='CBA Inputs'!$P34,Q$58&lt;='CBA Inputs'!$Q34),'CBA Inputs'!$O34/('CBA Inputs'!$Q34-'CBA Inputs'!$P34+1),0)*IF(Q$58=0,0,1)*CapitalCost_ACTIVE*Q$55*IF(Scenario_Select='CBA Inputs'!$T34,1,0)</f>
        <v>0</v>
      </c>
      <c r="BC77" s="17">
        <f>-IF(AND(R$58&gt;='CBA Inputs'!$P34,R$58&lt;='CBA Inputs'!$Q34),'CBA Inputs'!$O34/('CBA Inputs'!$Q34-'CBA Inputs'!$P34+1),0)*IF(R$58=0,0,1)*CapitalCost_ACTIVE*R$55*IF(Scenario_Select='CBA Inputs'!$T34,1,0)</f>
        <v>0</v>
      </c>
      <c r="BD77" s="17">
        <f>-IF(AND(S$58&gt;='CBA Inputs'!$P34,S$58&lt;='CBA Inputs'!$Q34),'CBA Inputs'!$O34/('CBA Inputs'!$Q34-'CBA Inputs'!$P34+1),0)*IF(S$58=0,0,1)*CapitalCost_ACTIVE*S$55*IF(Scenario_Select='CBA Inputs'!$T34,1,0)</f>
        <v>0</v>
      </c>
      <c r="BE77" s="17">
        <f>-IF(AND(T$58&gt;='CBA Inputs'!$P34,T$58&lt;='CBA Inputs'!$Q34),'CBA Inputs'!$O34/('CBA Inputs'!$Q34-'CBA Inputs'!$P34+1),0)*IF(T$58=0,0,1)*CapitalCost_ACTIVE*T$55*IF(Scenario_Select='CBA Inputs'!$T34,1,0)</f>
        <v>0</v>
      </c>
      <c r="BF77" s="17">
        <f>-IF(AND(U$58&gt;='CBA Inputs'!$P34,U$58&lt;='CBA Inputs'!$Q34),'CBA Inputs'!$O34/('CBA Inputs'!$Q34-'CBA Inputs'!$P34+1),0)*IF(U$58=0,0,1)*CapitalCost_ACTIVE*U$55*IF(Scenario_Select='CBA Inputs'!$T34,1,0)</f>
        <v>0</v>
      </c>
      <c r="BG77" s="17">
        <f>-IF(AND(V$58&gt;='CBA Inputs'!$P34,V$58&lt;='CBA Inputs'!$Q34),'CBA Inputs'!$O34/('CBA Inputs'!$Q34-'CBA Inputs'!$P34+1),0)*IF(V$58=0,0,1)*CapitalCost_ACTIVE*V$55*IF(Scenario_Select='CBA Inputs'!$T34,1,0)</f>
        <v>0</v>
      </c>
      <c r="BH77" s="17">
        <f>-IF(AND(W$58&gt;='CBA Inputs'!$P34,W$58&lt;='CBA Inputs'!$Q34),'CBA Inputs'!$O34/('CBA Inputs'!$Q34-'CBA Inputs'!$P34+1),0)*IF(W$58=0,0,1)*CapitalCost_ACTIVE*W$55*IF(Scenario_Select='CBA Inputs'!$T34,1,0)</f>
        <v>0</v>
      </c>
      <c r="BI77" s="17">
        <f>-IF(AND(X$58&gt;='CBA Inputs'!$P34,X$58&lt;='CBA Inputs'!$Q34),'CBA Inputs'!$O34/('CBA Inputs'!$Q34-'CBA Inputs'!$P34+1),0)*IF(X$58=0,0,1)*CapitalCost_ACTIVE*X$55*IF(Scenario_Select='CBA Inputs'!$T34,1,0)</f>
        <v>0</v>
      </c>
      <c r="BJ77" s="17">
        <f>-IF(AND(Y$58&gt;='CBA Inputs'!$P34,Y$58&lt;='CBA Inputs'!$Q34),'CBA Inputs'!$O34/('CBA Inputs'!$Q34-'CBA Inputs'!$P34+1),0)*IF(Y$58=0,0,1)*CapitalCost_ACTIVE*Y$55*IF(Scenario_Select='CBA Inputs'!$T34,1,0)</f>
        <v>0</v>
      </c>
      <c r="BK77" s="17">
        <f>-IF(AND(Z$58&gt;='CBA Inputs'!$P34,Z$58&lt;='CBA Inputs'!$Q34),'CBA Inputs'!$O34/('CBA Inputs'!$Q34-'CBA Inputs'!$P34+1),0)*IF(Z$58=0,0,1)*CapitalCost_ACTIVE*Z$55*IF(Scenario_Select='CBA Inputs'!$T34,1,0)</f>
        <v>0</v>
      </c>
      <c r="BL77" s="17">
        <f>-IF(AND(AA$58&gt;='CBA Inputs'!$P34,AA$58&lt;='CBA Inputs'!$Q34),'CBA Inputs'!$O34/('CBA Inputs'!$Q34-'CBA Inputs'!$P34+1),0)*IF(AA$58=0,0,1)*CapitalCost_ACTIVE*AA$55*IF(Scenario_Select='CBA Inputs'!$T34,1,0)</f>
        <v>0</v>
      </c>
      <c r="BM77" s="17">
        <f>-IF(AND(AB$58&gt;='CBA Inputs'!$P34,AB$58&lt;='CBA Inputs'!$Q34),'CBA Inputs'!$O34/('CBA Inputs'!$Q34-'CBA Inputs'!$P34+1),0)*IF(AB$58=0,0,1)*CapitalCost_ACTIVE*AB$55*IF(Scenario_Select='CBA Inputs'!$T34,1,0)</f>
        <v>0</v>
      </c>
      <c r="BN77" s="17">
        <f>-IF(AND(AC$58&gt;='CBA Inputs'!$P34,AC$58&lt;='CBA Inputs'!$Q34),'CBA Inputs'!$O34/('CBA Inputs'!$Q34-'CBA Inputs'!$P34+1),0)*IF(AC$58=0,0,1)*CapitalCost_ACTIVE*AC$55*IF(Scenario_Select='CBA Inputs'!$T34,1,0)</f>
        <v>0</v>
      </c>
      <c r="BO77" s="17">
        <f>-IF(AND(AD$58&gt;='CBA Inputs'!$P34,AD$58&lt;='CBA Inputs'!$Q34),'CBA Inputs'!$O34/('CBA Inputs'!$Q34-'CBA Inputs'!$P34+1),0)*IF(AD$58=0,0,1)*CapitalCost_ACTIVE*AD$55*IF(Scenario_Select='CBA Inputs'!$T34,1,0)</f>
        <v>0</v>
      </c>
      <c r="BP77" s="17">
        <f>-IF(AND(AE$58&gt;='CBA Inputs'!$P34,AE$58&lt;='CBA Inputs'!$Q34),'CBA Inputs'!$O34/('CBA Inputs'!$Q34-'CBA Inputs'!$P34+1),0)*IF(AE$58=0,0,1)*CapitalCost_ACTIVE*AE$55*IF(Scenario_Select='CBA Inputs'!$T34,1,0)</f>
        <v>0</v>
      </c>
      <c r="BQ77" s="17">
        <f>-IF(AND(AF$58&gt;='CBA Inputs'!$P34,AF$58&lt;='CBA Inputs'!$Q34),'CBA Inputs'!$O34/('CBA Inputs'!$Q34-'CBA Inputs'!$P34+1),0)*IF(AF$58=0,0,1)*CapitalCost_ACTIVE*AF$55*IF(Scenario_Select='CBA Inputs'!$T34,1,0)</f>
        <v>0</v>
      </c>
      <c r="BR77" s="17">
        <f>-IF(AND(AG$58&gt;='CBA Inputs'!$P34,AG$58&lt;='CBA Inputs'!$Q34),'CBA Inputs'!$O34/('CBA Inputs'!$Q34-'CBA Inputs'!$P34+1),0)*IF(AG$58=0,0,1)*CapitalCost_ACTIVE*AG$55*IF(Scenario_Select='CBA Inputs'!$T34,1,0)</f>
        <v>0</v>
      </c>
      <c r="BS77" s="17">
        <f>-IF(AND(AH$58&gt;='CBA Inputs'!$P34,AH$58&lt;='CBA Inputs'!$Q34),'CBA Inputs'!$O34/('CBA Inputs'!$Q34-'CBA Inputs'!$P34+1),0)*IF(AH$58=0,0,1)*CapitalCost_ACTIVE*AH$55*IF(Scenario_Select='CBA Inputs'!$T34,1,0)</f>
        <v>0</v>
      </c>
      <c r="BT77" s="17">
        <f>-IF(AND(AI$58&gt;='CBA Inputs'!$P34,AI$58&lt;='CBA Inputs'!$Q34),'CBA Inputs'!$O34/('CBA Inputs'!$Q34-'CBA Inputs'!$P34+1),0)*IF(AI$58=0,0,1)*CapitalCost_ACTIVE*AI$55*IF(Scenario_Select='CBA Inputs'!$T34,1,0)</f>
        <v>0</v>
      </c>
      <c r="BU77" s="17">
        <f>-IF(AND(AJ$58&gt;='CBA Inputs'!$P34,AJ$58&lt;='CBA Inputs'!$Q34),'CBA Inputs'!$O34/('CBA Inputs'!$Q34-'CBA Inputs'!$P34+1),0)*IF(AJ$58=0,0,1)*CapitalCost_ACTIVE*AJ$55*IF(Scenario_Select='CBA Inputs'!$T34,1,0)</f>
        <v>0</v>
      </c>
      <c r="BV77" s="178">
        <f>IFERROR(PMT(DiscountRate_ACTIVE,'CBA Inputs'!S34,'CBA Inputs'!O34),0)*IF(Scenario_Select='CBA Inputs'!$T34,1,0)</f>
        <v>0</v>
      </c>
    </row>
    <row r="78" spans="1:74" x14ac:dyDescent="0.35">
      <c r="B78" s="24">
        <f>+'CBA Inputs'!B35</f>
        <v>8</v>
      </c>
      <c r="C78" s="25" t="str">
        <f>+'CBA Inputs'!C35</f>
        <v>Option 3B</v>
      </c>
      <c r="D78" s="25" t="str">
        <f>'CBA Inputs'!D35</f>
        <v>Substation</v>
      </c>
      <c r="E78" s="12" t="s">
        <v>35</v>
      </c>
      <c r="F78" s="18">
        <f t="shared" si="28"/>
        <v>-113742549.10846967</v>
      </c>
      <c r="G78" s="17">
        <f>-IF(AND(G$58&gt;='CBA Inputs'!$F35,G$58&lt;='CBA Inputs'!$G35),'CBA Inputs'!$E35/('CBA Inputs'!$G35-'CBA Inputs'!$F35+1),0)*IF(G$58=0,0,1)*CapitalCost_ACTIVE*G$55</f>
        <v>0</v>
      </c>
      <c r="H78" s="17">
        <f>-IF(AND(H$58&gt;='CBA Inputs'!$F35,H$58&lt;='CBA Inputs'!$G35),'CBA Inputs'!$E35/('CBA Inputs'!$G35-'CBA Inputs'!$F35+1),0)*IF(H$58=0,0,1)*CapitalCost_ACTIVE*H$55</f>
        <v>-32750000</v>
      </c>
      <c r="I78" s="17">
        <f>-IF(AND(I$58&gt;='CBA Inputs'!$F35,I$58&lt;='CBA Inputs'!$G35),'CBA Inputs'!$E35/('CBA Inputs'!$G35-'CBA Inputs'!$F35+1),0)*IF(I$58=0,0,1)*CapitalCost_ACTIVE*I$55</f>
        <v>-32750000</v>
      </c>
      <c r="J78" s="17">
        <f>-IF(AND(J$58&gt;='CBA Inputs'!$F35,J$58&lt;='CBA Inputs'!$G35),'CBA Inputs'!$E35/('CBA Inputs'!$G35-'CBA Inputs'!$F35+1),0)*IF(J$58=0,0,1)*CapitalCost_ACTIVE*J$55</f>
        <v>-32750000</v>
      </c>
      <c r="K78" s="17">
        <f>-IF(AND(K$58&gt;='CBA Inputs'!$F35,K$58&lt;='CBA Inputs'!$G35),'CBA Inputs'!$E35/('CBA Inputs'!$G35-'CBA Inputs'!$F35+1),0)*IF(K$58=0,0,1)*CapitalCost_ACTIVE*K$55</f>
        <v>-32750000</v>
      </c>
      <c r="L78" s="17">
        <f>-IF(AND(L$58&gt;='CBA Inputs'!$F35,L$58&lt;='CBA Inputs'!$G35),'CBA Inputs'!$E35/('CBA Inputs'!$G35-'CBA Inputs'!$F35+1),0)*IF(L$58=0,0,1)*CapitalCost_ACTIVE*L$55</f>
        <v>0</v>
      </c>
      <c r="M78" s="17">
        <f>-IF(AND(M$58&gt;='CBA Inputs'!$F35,M$58&lt;='CBA Inputs'!$G35),'CBA Inputs'!$E35/('CBA Inputs'!$G35-'CBA Inputs'!$F35+1),0)*IF(M$58=0,0,1)*CapitalCost_ACTIVE*M$55</f>
        <v>0</v>
      </c>
      <c r="N78" s="17">
        <f>-IF(AND(N$58&gt;='CBA Inputs'!$F35,N$58&lt;='CBA Inputs'!$G35),'CBA Inputs'!$E35/('CBA Inputs'!$G35-'CBA Inputs'!$F35+1),0)*IF(N$58=0,0,1)*CapitalCost_ACTIVE*N$55</f>
        <v>0</v>
      </c>
      <c r="O78" s="17">
        <f>-IF(AND(O$58&gt;='CBA Inputs'!$F35,O$58&lt;='CBA Inputs'!$G35),'CBA Inputs'!$E35/('CBA Inputs'!$G35-'CBA Inputs'!$F35+1),0)*IF(O$58=0,0,1)*CapitalCost_ACTIVE*O$55</f>
        <v>0</v>
      </c>
      <c r="P78" s="17">
        <f>-IF(AND(P$58&gt;='CBA Inputs'!$F35,P$58&lt;='CBA Inputs'!$G35),'CBA Inputs'!$E35/('CBA Inputs'!$G35-'CBA Inputs'!$F35+1),0)*IF(P$58=0,0,1)*CapitalCost_ACTIVE*P$55</f>
        <v>0</v>
      </c>
      <c r="Q78" s="17">
        <f>-IF(AND(Q$58&gt;='CBA Inputs'!$F35,Q$58&lt;='CBA Inputs'!$G35),'CBA Inputs'!$E35/('CBA Inputs'!$G35-'CBA Inputs'!$F35+1),0)*IF(Q$58=0,0,1)*CapitalCost_ACTIVE*Q$55</f>
        <v>0</v>
      </c>
      <c r="R78" s="17">
        <f>-IF(AND(R$58&gt;='CBA Inputs'!$F35,R$58&lt;='CBA Inputs'!$G35),'CBA Inputs'!$E35/('CBA Inputs'!$G35-'CBA Inputs'!$F35+1),0)*IF(R$58=0,0,1)*CapitalCost_ACTIVE*R$55</f>
        <v>0</v>
      </c>
      <c r="S78" s="17">
        <f>-IF(AND(S$58&gt;='CBA Inputs'!$F35,S$58&lt;='CBA Inputs'!$G35),'CBA Inputs'!$E35/('CBA Inputs'!$G35-'CBA Inputs'!$F35+1),0)*IF(S$58=0,0,1)*CapitalCost_ACTIVE*S$55</f>
        <v>0</v>
      </c>
      <c r="T78" s="17">
        <f>-IF(AND(T$58&gt;='CBA Inputs'!$F35,T$58&lt;='CBA Inputs'!$G35),'CBA Inputs'!$E35/('CBA Inputs'!$G35-'CBA Inputs'!$F35+1),0)*IF(T$58=0,0,1)*CapitalCost_ACTIVE*T$55</f>
        <v>0</v>
      </c>
      <c r="U78" s="17">
        <f>-IF(AND(U$58&gt;='CBA Inputs'!$F35,U$58&lt;='CBA Inputs'!$G35),'CBA Inputs'!$E35/('CBA Inputs'!$G35-'CBA Inputs'!$F35+1),0)*IF(U$58=0,0,1)*CapitalCost_ACTIVE*U$55</f>
        <v>0</v>
      </c>
      <c r="V78" s="17">
        <f>-IF(AND(V$58&gt;='CBA Inputs'!$F35,V$58&lt;='CBA Inputs'!$G35),'CBA Inputs'!$E35/('CBA Inputs'!$G35-'CBA Inputs'!$F35+1),0)*IF(V$58=0,0,1)*CapitalCost_ACTIVE*V$55</f>
        <v>0</v>
      </c>
      <c r="W78" s="17">
        <f>-IF(AND(W$58&gt;='CBA Inputs'!$F35,W$58&lt;='CBA Inputs'!$G35),'CBA Inputs'!$E35/('CBA Inputs'!$G35-'CBA Inputs'!$F35+1),0)*IF(W$58=0,0,1)*CapitalCost_ACTIVE*W$55</f>
        <v>0</v>
      </c>
      <c r="X78" s="17">
        <f>-IF(AND(X$58&gt;='CBA Inputs'!$F35,X$58&lt;='CBA Inputs'!$G35),'CBA Inputs'!$E35/('CBA Inputs'!$G35-'CBA Inputs'!$F35+1),0)*IF(X$58=0,0,1)*CapitalCost_ACTIVE*X$55</f>
        <v>0</v>
      </c>
      <c r="Y78" s="17">
        <f>-IF(AND(Y$58&gt;='CBA Inputs'!$F35,Y$58&lt;='CBA Inputs'!$G35),'CBA Inputs'!$E35/('CBA Inputs'!$G35-'CBA Inputs'!$F35+1),0)*IF(Y$58=0,0,1)*CapitalCost_ACTIVE*Y$55</f>
        <v>0</v>
      </c>
      <c r="Z78" s="17">
        <f>-IF(AND(Z$58&gt;='CBA Inputs'!$F35,Z$58&lt;='CBA Inputs'!$G35),'CBA Inputs'!$E35/('CBA Inputs'!$G35-'CBA Inputs'!$F35+1),0)*IF(Z$58=0,0,1)*CapitalCost_ACTIVE*Z$55</f>
        <v>0</v>
      </c>
      <c r="AA78" s="17">
        <f>-IF(AND(AA$58&gt;='CBA Inputs'!$F35,AA$58&lt;='CBA Inputs'!$G35),'CBA Inputs'!$E35/('CBA Inputs'!$G35-'CBA Inputs'!$F35+1),0)*IF(AA$58=0,0,1)*CapitalCost_ACTIVE*AA$55</f>
        <v>0</v>
      </c>
      <c r="AB78" s="17">
        <f>-IF(AND(AB$58&gt;='CBA Inputs'!$F35,AB$58&lt;='CBA Inputs'!$G35),'CBA Inputs'!$E35/('CBA Inputs'!$G35-'CBA Inputs'!$F35+1),0)*IF(AB$58=0,0,1)*CapitalCost_ACTIVE*AB$55</f>
        <v>0</v>
      </c>
      <c r="AC78" s="17">
        <f>-IF(AND(AC$58&gt;='CBA Inputs'!$F35,AC$58&lt;='CBA Inputs'!$G35),'CBA Inputs'!$E35/('CBA Inputs'!$G35-'CBA Inputs'!$F35+1),0)*IF(AC$58=0,0,1)*CapitalCost_ACTIVE*AC$55</f>
        <v>0</v>
      </c>
      <c r="AD78" s="17">
        <f>-IF(AND(AD$58&gt;='CBA Inputs'!$F35,AD$58&lt;='CBA Inputs'!$G35),'CBA Inputs'!$E35/('CBA Inputs'!$G35-'CBA Inputs'!$F35+1),0)*IF(AD$58=0,0,1)*CapitalCost_ACTIVE*AD$55</f>
        <v>0</v>
      </c>
      <c r="AE78" s="17">
        <f>-IF(AND(AE$58&gt;='CBA Inputs'!$F35,AE$58&lt;='CBA Inputs'!$G35),'CBA Inputs'!$E35/('CBA Inputs'!$G35-'CBA Inputs'!$F35+1),0)*IF(AE$58=0,0,1)*CapitalCost_ACTIVE*AE$55</f>
        <v>0</v>
      </c>
      <c r="AF78" s="17">
        <f>-IF(AND(AF$58&gt;='CBA Inputs'!$F35,AF$58&lt;='CBA Inputs'!$G35),'CBA Inputs'!$E35/('CBA Inputs'!$G35-'CBA Inputs'!$F35+1),0)*IF(AF$58=0,0,1)*CapitalCost_ACTIVE*AF$55</f>
        <v>0</v>
      </c>
      <c r="AG78" s="17">
        <f>-IF(AND(AG$58&gt;='CBA Inputs'!$F35,AG$58&lt;='CBA Inputs'!$G35),'CBA Inputs'!$E35/('CBA Inputs'!$G35-'CBA Inputs'!$F35+1),0)*IF(AG$58=0,0,1)*CapitalCost_ACTIVE*AG$55</f>
        <v>0</v>
      </c>
      <c r="AH78" s="17">
        <f>-IF(AND(AH$58&gt;='CBA Inputs'!$F35,AH$58&lt;='CBA Inputs'!$G35),'CBA Inputs'!$E35/('CBA Inputs'!$G35-'CBA Inputs'!$F35+1),0)*IF(AH$58=0,0,1)*CapitalCost_ACTIVE*AH$55</f>
        <v>0</v>
      </c>
      <c r="AI78" s="17">
        <f>-IF(AND(AI$58&gt;='CBA Inputs'!$F35,AI$58&lt;='CBA Inputs'!$G35),'CBA Inputs'!$E35/('CBA Inputs'!$G35-'CBA Inputs'!$F35+1),0)*IF(AI$58=0,0,1)*CapitalCost_ACTIVE*AI$55</f>
        <v>0</v>
      </c>
      <c r="AJ78" s="17">
        <f>-IF(AND(AJ$58&gt;='CBA Inputs'!$F35,AJ$58&lt;='CBA Inputs'!$G35),'CBA Inputs'!$E35/('CBA Inputs'!$G35-'CBA Inputs'!$F35+1),0)*IF(AJ$58=0,0,1)*CapitalCost_ACTIVE*AJ$55</f>
        <v>0</v>
      </c>
      <c r="AK78" s="178">
        <f>IFERROR(PMT(DiscountRate_ACTIVE,'CBA Inputs'!I35,'CBA Inputs'!E35),0)</f>
        <v>-8596975.0955853295</v>
      </c>
      <c r="AM78" s="24">
        <f>'CBA Inputs'!L35</f>
        <v>11</v>
      </c>
      <c r="AN78" s="24" t="str">
        <f>'CBA Inputs'!M35</f>
        <v>Option 4B</v>
      </c>
      <c r="AO78" s="24" t="str">
        <f>'CBA Inputs'!N35</f>
        <v>Substation</v>
      </c>
      <c r="AP78" s="12" t="s">
        <v>35</v>
      </c>
      <c r="AQ78" s="18">
        <f t="shared" si="29"/>
        <v>0</v>
      </c>
      <c r="AR78" s="17">
        <f>-IF(AND(G$58&gt;='CBA Inputs'!$P35,G$58&lt;='CBA Inputs'!$Q35),'CBA Inputs'!$O35/('CBA Inputs'!$Q35-'CBA Inputs'!$P35+1),0)*IF(G$58=0,0,1)*CapitalCost_ACTIVE*G$55*IF(Scenario_Select='CBA Inputs'!$T35,1,0)</f>
        <v>0</v>
      </c>
      <c r="AS78" s="17">
        <f>-IF(AND(H$58&gt;='CBA Inputs'!$P35,H$58&lt;='CBA Inputs'!$Q35),'CBA Inputs'!$O35/('CBA Inputs'!$Q35-'CBA Inputs'!$P35+1),0)*IF(H$58=0,0,1)*CapitalCost_ACTIVE*H$55*IF(Scenario_Select='CBA Inputs'!$T35,1,0)</f>
        <v>0</v>
      </c>
      <c r="AT78" s="17">
        <f>-IF(AND(I$58&gt;='CBA Inputs'!$P35,I$58&lt;='CBA Inputs'!$Q35),'CBA Inputs'!$O35/('CBA Inputs'!$Q35-'CBA Inputs'!$P35+1),0)*IF(I$58=0,0,1)*CapitalCost_ACTIVE*I$55*IF(Scenario_Select='CBA Inputs'!$T35,1,0)</f>
        <v>0</v>
      </c>
      <c r="AU78" s="17">
        <f>-IF(AND(J$58&gt;='CBA Inputs'!$P35,J$58&lt;='CBA Inputs'!$Q35),'CBA Inputs'!$O35/('CBA Inputs'!$Q35-'CBA Inputs'!$P35+1),0)*IF(J$58=0,0,1)*CapitalCost_ACTIVE*J$55*IF(Scenario_Select='CBA Inputs'!$T35,1,0)</f>
        <v>0</v>
      </c>
      <c r="AV78" s="17">
        <f>-IF(AND(K$58&gt;='CBA Inputs'!$P35,K$58&lt;='CBA Inputs'!$Q35),'CBA Inputs'!$O35/('CBA Inputs'!$Q35-'CBA Inputs'!$P35+1),0)*IF(K$58=0,0,1)*CapitalCost_ACTIVE*K$55*IF(Scenario_Select='CBA Inputs'!$T35,1,0)</f>
        <v>0</v>
      </c>
      <c r="AW78" s="17">
        <f>-IF(AND(L$58&gt;='CBA Inputs'!$P35,L$58&lt;='CBA Inputs'!$Q35),'CBA Inputs'!$O35/('CBA Inputs'!$Q35-'CBA Inputs'!$P35+1),0)*IF(L$58=0,0,1)*CapitalCost_ACTIVE*L$55*IF(Scenario_Select='CBA Inputs'!$T35,1,0)</f>
        <v>0</v>
      </c>
      <c r="AX78" s="17">
        <f>-IF(AND(M$58&gt;='CBA Inputs'!$P35,M$58&lt;='CBA Inputs'!$Q35),'CBA Inputs'!$O35/('CBA Inputs'!$Q35-'CBA Inputs'!$P35+1),0)*IF(M$58=0,0,1)*CapitalCost_ACTIVE*M$55*IF(Scenario_Select='CBA Inputs'!$T35,1,0)</f>
        <v>0</v>
      </c>
      <c r="AY78" s="17">
        <f>-IF(AND(N$58&gt;='CBA Inputs'!$P35,N$58&lt;='CBA Inputs'!$Q35),'CBA Inputs'!$O35/('CBA Inputs'!$Q35-'CBA Inputs'!$P35+1),0)*IF(N$58=0,0,1)*CapitalCost_ACTIVE*N$55*IF(Scenario_Select='CBA Inputs'!$T35,1,0)</f>
        <v>0</v>
      </c>
      <c r="AZ78" s="17">
        <f>-IF(AND(O$58&gt;='CBA Inputs'!$P35,O$58&lt;='CBA Inputs'!$Q35),'CBA Inputs'!$O35/('CBA Inputs'!$Q35-'CBA Inputs'!$P35+1),0)*IF(O$58=0,0,1)*CapitalCost_ACTIVE*O$55*IF(Scenario_Select='CBA Inputs'!$T35,1,0)</f>
        <v>0</v>
      </c>
      <c r="BA78" s="17">
        <f>-IF(AND(P$58&gt;='CBA Inputs'!$P35,P$58&lt;='CBA Inputs'!$Q35),'CBA Inputs'!$O35/('CBA Inputs'!$Q35-'CBA Inputs'!$P35+1),0)*IF(P$58=0,0,1)*CapitalCost_ACTIVE*P$55*IF(Scenario_Select='CBA Inputs'!$T35,1,0)</f>
        <v>0</v>
      </c>
      <c r="BB78" s="17">
        <f>-IF(AND(Q$58&gt;='CBA Inputs'!$P35,Q$58&lt;='CBA Inputs'!$Q35),'CBA Inputs'!$O35/('CBA Inputs'!$Q35-'CBA Inputs'!$P35+1),0)*IF(Q$58=0,0,1)*CapitalCost_ACTIVE*Q$55*IF(Scenario_Select='CBA Inputs'!$T35,1,0)</f>
        <v>0</v>
      </c>
      <c r="BC78" s="17">
        <f>-IF(AND(R$58&gt;='CBA Inputs'!$P35,R$58&lt;='CBA Inputs'!$Q35),'CBA Inputs'!$O35/('CBA Inputs'!$Q35-'CBA Inputs'!$P35+1),0)*IF(R$58=0,0,1)*CapitalCost_ACTIVE*R$55*IF(Scenario_Select='CBA Inputs'!$T35,1,0)</f>
        <v>0</v>
      </c>
      <c r="BD78" s="17">
        <f>-IF(AND(S$58&gt;='CBA Inputs'!$P35,S$58&lt;='CBA Inputs'!$Q35),'CBA Inputs'!$O35/('CBA Inputs'!$Q35-'CBA Inputs'!$P35+1),0)*IF(S$58=0,0,1)*CapitalCost_ACTIVE*S$55*IF(Scenario_Select='CBA Inputs'!$T35,1,0)</f>
        <v>0</v>
      </c>
      <c r="BE78" s="17">
        <f>-IF(AND(T$58&gt;='CBA Inputs'!$P35,T$58&lt;='CBA Inputs'!$Q35),'CBA Inputs'!$O35/('CBA Inputs'!$Q35-'CBA Inputs'!$P35+1),0)*IF(T$58=0,0,1)*CapitalCost_ACTIVE*T$55*IF(Scenario_Select='CBA Inputs'!$T35,1,0)</f>
        <v>0</v>
      </c>
      <c r="BF78" s="17">
        <f>-IF(AND(U$58&gt;='CBA Inputs'!$P35,U$58&lt;='CBA Inputs'!$Q35),'CBA Inputs'!$O35/('CBA Inputs'!$Q35-'CBA Inputs'!$P35+1),0)*IF(U$58=0,0,1)*CapitalCost_ACTIVE*U$55*IF(Scenario_Select='CBA Inputs'!$T35,1,0)</f>
        <v>0</v>
      </c>
      <c r="BG78" s="17">
        <f>-IF(AND(V$58&gt;='CBA Inputs'!$P35,V$58&lt;='CBA Inputs'!$Q35),'CBA Inputs'!$O35/('CBA Inputs'!$Q35-'CBA Inputs'!$P35+1),0)*IF(V$58=0,0,1)*CapitalCost_ACTIVE*V$55*IF(Scenario_Select='CBA Inputs'!$T35,1,0)</f>
        <v>0</v>
      </c>
      <c r="BH78" s="17">
        <f>-IF(AND(W$58&gt;='CBA Inputs'!$P35,W$58&lt;='CBA Inputs'!$Q35),'CBA Inputs'!$O35/('CBA Inputs'!$Q35-'CBA Inputs'!$P35+1),0)*IF(W$58=0,0,1)*CapitalCost_ACTIVE*W$55*IF(Scenario_Select='CBA Inputs'!$T35,1,0)</f>
        <v>0</v>
      </c>
      <c r="BI78" s="17">
        <f>-IF(AND(X$58&gt;='CBA Inputs'!$P35,X$58&lt;='CBA Inputs'!$Q35),'CBA Inputs'!$O35/('CBA Inputs'!$Q35-'CBA Inputs'!$P35+1),0)*IF(X$58=0,0,1)*CapitalCost_ACTIVE*X$55*IF(Scenario_Select='CBA Inputs'!$T35,1,0)</f>
        <v>0</v>
      </c>
      <c r="BJ78" s="17">
        <f>-IF(AND(Y$58&gt;='CBA Inputs'!$P35,Y$58&lt;='CBA Inputs'!$Q35),'CBA Inputs'!$O35/('CBA Inputs'!$Q35-'CBA Inputs'!$P35+1),0)*IF(Y$58=0,0,1)*CapitalCost_ACTIVE*Y$55*IF(Scenario_Select='CBA Inputs'!$T35,1,0)</f>
        <v>0</v>
      </c>
      <c r="BK78" s="17">
        <f>-IF(AND(Z$58&gt;='CBA Inputs'!$P35,Z$58&lt;='CBA Inputs'!$Q35),'CBA Inputs'!$O35/('CBA Inputs'!$Q35-'CBA Inputs'!$P35+1),0)*IF(Z$58=0,0,1)*CapitalCost_ACTIVE*Z$55*IF(Scenario_Select='CBA Inputs'!$T35,1,0)</f>
        <v>0</v>
      </c>
      <c r="BL78" s="17">
        <f>-IF(AND(AA$58&gt;='CBA Inputs'!$P35,AA$58&lt;='CBA Inputs'!$Q35),'CBA Inputs'!$O35/('CBA Inputs'!$Q35-'CBA Inputs'!$P35+1),0)*IF(AA$58=0,0,1)*CapitalCost_ACTIVE*AA$55*IF(Scenario_Select='CBA Inputs'!$T35,1,0)</f>
        <v>0</v>
      </c>
      <c r="BM78" s="17">
        <f>-IF(AND(AB$58&gt;='CBA Inputs'!$P35,AB$58&lt;='CBA Inputs'!$Q35),'CBA Inputs'!$O35/('CBA Inputs'!$Q35-'CBA Inputs'!$P35+1),0)*IF(AB$58=0,0,1)*CapitalCost_ACTIVE*AB$55*IF(Scenario_Select='CBA Inputs'!$T35,1,0)</f>
        <v>0</v>
      </c>
      <c r="BN78" s="17">
        <f>-IF(AND(AC$58&gt;='CBA Inputs'!$P35,AC$58&lt;='CBA Inputs'!$Q35),'CBA Inputs'!$O35/('CBA Inputs'!$Q35-'CBA Inputs'!$P35+1),0)*IF(AC$58=0,0,1)*CapitalCost_ACTIVE*AC$55*IF(Scenario_Select='CBA Inputs'!$T35,1,0)</f>
        <v>0</v>
      </c>
      <c r="BO78" s="17">
        <f>-IF(AND(AD$58&gt;='CBA Inputs'!$P35,AD$58&lt;='CBA Inputs'!$Q35),'CBA Inputs'!$O35/('CBA Inputs'!$Q35-'CBA Inputs'!$P35+1),0)*IF(AD$58=0,0,1)*CapitalCost_ACTIVE*AD$55*IF(Scenario_Select='CBA Inputs'!$T35,1,0)</f>
        <v>0</v>
      </c>
      <c r="BP78" s="17">
        <f>-IF(AND(AE$58&gt;='CBA Inputs'!$P35,AE$58&lt;='CBA Inputs'!$Q35),'CBA Inputs'!$O35/('CBA Inputs'!$Q35-'CBA Inputs'!$P35+1),0)*IF(AE$58=0,0,1)*CapitalCost_ACTIVE*AE$55*IF(Scenario_Select='CBA Inputs'!$T35,1,0)</f>
        <v>0</v>
      </c>
      <c r="BQ78" s="17">
        <f>-IF(AND(AF$58&gt;='CBA Inputs'!$P35,AF$58&lt;='CBA Inputs'!$Q35),'CBA Inputs'!$O35/('CBA Inputs'!$Q35-'CBA Inputs'!$P35+1),0)*IF(AF$58=0,0,1)*CapitalCost_ACTIVE*AF$55*IF(Scenario_Select='CBA Inputs'!$T35,1,0)</f>
        <v>0</v>
      </c>
      <c r="BR78" s="17">
        <f>-IF(AND(AG$58&gt;='CBA Inputs'!$P35,AG$58&lt;='CBA Inputs'!$Q35),'CBA Inputs'!$O35/('CBA Inputs'!$Q35-'CBA Inputs'!$P35+1),0)*IF(AG$58=0,0,1)*CapitalCost_ACTIVE*AG$55*IF(Scenario_Select='CBA Inputs'!$T35,1,0)</f>
        <v>0</v>
      </c>
      <c r="BS78" s="17">
        <f>-IF(AND(AH$58&gt;='CBA Inputs'!$P35,AH$58&lt;='CBA Inputs'!$Q35),'CBA Inputs'!$O35/('CBA Inputs'!$Q35-'CBA Inputs'!$P35+1),0)*IF(AH$58=0,0,1)*CapitalCost_ACTIVE*AH$55*IF(Scenario_Select='CBA Inputs'!$T35,1,0)</f>
        <v>0</v>
      </c>
      <c r="BT78" s="17">
        <f>-IF(AND(AI$58&gt;='CBA Inputs'!$P35,AI$58&lt;='CBA Inputs'!$Q35),'CBA Inputs'!$O35/('CBA Inputs'!$Q35-'CBA Inputs'!$P35+1),0)*IF(AI$58=0,0,1)*CapitalCost_ACTIVE*AI$55*IF(Scenario_Select='CBA Inputs'!$T35,1,0)</f>
        <v>0</v>
      </c>
      <c r="BU78" s="17">
        <f>-IF(AND(AJ$58&gt;='CBA Inputs'!$P35,AJ$58&lt;='CBA Inputs'!$Q35),'CBA Inputs'!$O35/('CBA Inputs'!$Q35-'CBA Inputs'!$P35+1),0)*IF(AJ$58=0,0,1)*CapitalCost_ACTIVE*AJ$55*IF(Scenario_Select='CBA Inputs'!$T35,1,0)</f>
        <v>0</v>
      </c>
      <c r="BV78" s="178">
        <f>IFERROR(PMT(DiscountRate_ACTIVE,'CBA Inputs'!S35,'CBA Inputs'!O35),0)*IF(Scenario_Select='CBA Inputs'!$T35,1,0)</f>
        <v>0</v>
      </c>
    </row>
    <row r="79" spans="1:74" x14ac:dyDescent="0.35">
      <c r="B79" s="24">
        <f>+'CBA Inputs'!B36</f>
        <v>9</v>
      </c>
      <c r="C79" s="25" t="str">
        <f>+'CBA Inputs'!C36</f>
        <v>Option 3C</v>
      </c>
      <c r="D79" s="25" t="str">
        <f>'CBA Inputs'!D36</f>
        <v>Lines</v>
      </c>
      <c r="E79" s="12" t="s">
        <v>35</v>
      </c>
      <c r="F79" s="18">
        <f t="shared" si="28"/>
        <v>-946407469.68115985</v>
      </c>
      <c r="G79" s="17">
        <f>-IF(AND(G$58&gt;='CBA Inputs'!$F36,G$58&lt;='CBA Inputs'!$G36),'CBA Inputs'!$E36/('CBA Inputs'!$G36-'CBA Inputs'!$F36+1),0)*IF(G$58=0,0,1)*CapitalCost_ACTIVE*G$55</f>
        <v>0</v>
      </c>
      <c r="H79" s="17">
        <f>-IF(AND(H$58&gt;='CBA Inputs'!$F36,H$58&lt;='CBA Inputs'!$G36),'CBA Inputs'!$E36/('CBA Inputs'!$G36-'CBA Inputs'!$F36+1),0)*IF(H$58=0,0,1)*CapitalCost_ACTIVE*H$55</f>
        <v>-272500000</v>
      </c>
      <c r="I79" s="17">
        <f>-IF(AND(I$58&gt;='CBA Inputs'!$F36,I$58&lt;='CBA Inputs'!$G36),'CBA Inputs'!$E36/('CBA Inputs'!$G36-'CBA Inputs'!$F36+1),0)*IF(I$58=0,0,1)*CapitalCost_ACTIVE*I$55</f>
        <v>-272500000</v>
      </c>
      <c r="J79" s="17">
        <f>-IF(AND(J$58&gt;='CBA Inputs'!$F36,J$58&lt;='CBA Inputs'!$G36),'CBA Inputs'!$E36/('CBA Inputs'!$G36-'CBA Inputs'!$F36+1),0)*IF(J$58=0,0,1)*CapitalCost_ACTIVE*J$55</f>
        <v>-272500000</v>
      </c>
      <c r="K79" s="17">
        <f>-IF(AND(K$58&gt;='CBA Inputs'!$F36,K$58&lt;='CBA Inputs'!$G36),'CBA Inputs'!$E36/('CBA Inputs'!$G36-'CBA Inputs'!$F36+1),0)*IF(K$58=0,0,1)*CapitalCost_ACTIVE*K$55</f>
        <v>-272500000</v>
      </c>
      <c r="L79" s="17">
        <f>-IF(AND(L$58&gt;='CBA Inputs'!$F36,L$58&lt;='CBA Inputs'!$G36),'CBA Inputs'!$E36/('CBA Inputs'!$G36-'CBA Inputs'!$F36+1),0)*IF(L$58=0,0,1)*CapitalCost_ACTIVE*L$55</f>
        <v>0</v>
      </c>
      <c r="M79" s="17">
        <f>-IF(AND(M$58&gt;='CBA Inputs'!$F36,M$58&lt;='CBA Inputs'!$G36),'CBA Inputs'!$E36/('CBA Inputs'!$G36-'CBA Inputs'!$F36+1),0)*IF(M$58=0,0,1)*CapitalCost_ACTIVE*M$55</f>
        <v>0</v>
      </c>
      <c r="N79" s="17">
        <f>-IF(AND(N$58&gt;='CBA Inputs'!$F36,N$58&lt;='CBA Inputs'!$G36),'CBA Inputs'!$E36/('CBA Inputs'!$G36-'CBA Inputs'!$F36+1),0)*IF(N$58=0,0,1)*CapitalCost_ACTIVE*N$55</f>
        <v>0</v>
      </c>
      <c r="O79" s="17">
        <f>-IF(AND(O$58&gt;='CBA Inputs'!$F36,O$58&lt;='CBA Inputs'!$G36),'CBA Inputs'!$E36/('CBA Inputs'!$G36-'CBA Inputs'!$F36+1),0)*IF(O$58=0,0,1)*CapitalCost_ACTIVE*O$55</f>
        <v>0</v>
      </c>
      <c r="P79" s="17">
        <f>-IF(AND(P$58&gt;='CBA Inputs'!$F36,P$58&lt;='CBA Inputs'!$G36),'CBA Inputs'!$E36/('CBA Inputs'!$G36-'CBA Inputs'!$F36+1),0)*IF(P$58=0,0,1)*CapitalCost_ACTIVE*P$55</f>
        <v>0</v>
      </c>
      <c r="Q79" s="17">
        <f>-IF(AND(Q$58&gt;='CBA Inputs'!$F36,Q$58&lt;='CBA Inputs'!$G36),'CBA Inputs'!$E36/('CBA Inputs'!$G36-'CBA Inputs'!$F36+1),0)*IF(Q$58=0,0,1)*CapitalCost_ACTIVE*Q$55</f>
        <v>0</v>
      </c>
      <c r="R79" s="17">
        <f>-IF(AND(R$58&gt;='CBA Inputs'!$F36,R$58&lt;='CBA Inputs'!$G36),'CBA Inputs'!$E36/('CBA Inputs'!$G36-'CBA Inputs'!$F36+1),0)*IF(R$58=0,0,1)*CapitalCost_ACTIVE*R$55</f>
        <v>0</v>
      </c>
      <c r="S79" s="17">
        <f>-IF(AND(S$58&gt;='CBA Inputs'!$F36,S$58&lt;='CBA Inputs'!$G36),'CBA Inputs'!$E36/('CBA Inputs'!$G36-'CBA Inputs'!$F36+1),0)*IF(S$58=0,0,1)*CapitalCost_ACTIVE*S$55</f>
        <v>0</v>
      </c>
      <c r="T79" s="17">
        <f>-IF(AND(T$58&gt;='CBA Inputs'!$F36,T$58&lt;='CBA Inputs'!$G36),'CBA Inputs'!$E36/('CBA Inputs'!$G36-'CBA Inputs'!$F36+1),0)*IF(T$58=0,0,1)*CapitalCost_ACTIVE*T$55</f>
        <v>0</v>
      </c>
      <c r="U79" s="17">
        <f>-IF(AND(U$58&gt;='CBA Inputs'!$F36,U$58&lt;='CBA Inputs'!$G36),'CBA Inputs'!$E36/('CBA Inputs'!$G36-'CBA Inputs'!$F36+1),0)*IF(U$58=0,0,1)*CapitalCost_ACTIVE*U$55</f>
        <v>0</v>
      </c>
      <c r="V79" s="17">
        <f>-IF(AND(V$58&gt;='CBA Inputs'!$F36,V$58&lt;='CBA Inputs'!$G36),'CBA Inputs'!$E36/('CBA Inputs'!$G36-'CBA Inputs'!$F36+1),0)*IF(V$58=0,0,1)*CapitalCost_ACTIVE*V$55</f>
        <v>0</v>
      </c>
      <c r="W79" s="17">
        <f>-IF(AND(W$58&gt;='CBA Inputs'!$F36,W$58&lt;='CBA Inputs'!$G36),'CBA Inputs'!$E36/('CBA Inputs'!$G36-'CBA Inputs'!$F36+1),0)*IF(W$58=0,0,1)*CapitalCost_ACTIVE*W$55</f>
        <v>0</v>
      </c>
      <c r="X79" s="17">
        <f>-IF(AND(X$58&gt;='CBA Inputs'!$F36,X$58&lt;='CBA Inputs'!$G36),'CBA Inputs'!$E36/('CBA Inputs'!$G36-'CBA Inputs'!$F36+1),0)*IF(X$58=0,0,1)*CapitalCost_ACTIVE*X$55</f>
        <v>0</v>
      </c>
      <c r="Y79" s="17">
        <f>-IF(AND(Y$58&gt;='CBA Inputs'!$F36,Y$58&lt;='CBA Inputs'!$G36),'CBA Inputs'!$E36/('CBA Inputs'!$G36-'CBA Inputs'!$F36+1),0)*IF(Y$58=0,0,1)*CapitalCost_ACTIVE*Y$55</f>
        <v>0</v>
      </c>
      <c r="Z79" s="17">
        <f>-IF(AND(Z$58&gt;='CBA Inputs'!$F36,Z$58&lt;='CBA Inputs'!$G36),'CBA Inputs'!$E36/('CBA Inputs'!$G36-'CBA Inputs'!$F36+1),0)*IF(Z$58=0,0,1)*CapitalCost_ACTIVE*Z$55</f>
        <v>0</v>
      </c>
      <c r="AA79" s="17">
        <f>-IF(AND(AA$58&gt;='CBA Inputs'!$F36,AA$58&lt;='CBA Inputs'!$G36),'CBA Inputs'!$E36/('CBA Inputs'!$G36-'CBA Inputs'!$F36+1),0)*IF(AA$58=0,0,1)*CapitalCost_ACTIVE*AA$55</f>
        <v>0</v>
      </c>
      <c r="AB79" s="17">
        <f>-IF(AND(AB$58&gt;='CBA Inputs'!$F36,AB$58&lt;='CBA Inputs'!$G36),'CBA Inputs'!$E36/('CBA Inputs'!$G36-'CBA Inputs'!$F36+1),0)*IF(AB$58=0,0,1)*CapitalCost_ACTIVE*AB$55</f>
        <v>0</v>
      </c>
      <c r="AC79" s="17">
        <f>-IF(AND(AC$58&gt;='CBA Inputs'!$F36,AC$58&lt;='CBA Inputs'!$G36),'CBA Inputs'!$E36/('CBA Inputs'!$G36-'CBA Inputs'!$F36+1),0)*IF(AC$58=0,0,1)*CapitalCost_ACTIVE*AC$55</f>
        <v>0</v>
      </c>
      <c r="AD79" s="17">
        <f>-IF(AND(AD$58&gt;='CBA Inputs'!$F36,AD$58&lt;='CBA Inputs'!$G36),'CBA Inputs'!$E36/('CBA Inputs'!$G36-'CBA Inputs'!$F36+1),0)*IF(AD$58=0,0,1)*CapitalCost_ACTIVE*AD$55</f>
        <v>0</v>
      </c>
      <c r="AE79" s="17">
        <f>-IF(AND(AE$58&gt;='CBA Inputs'!$F36,AE$58&lt;='CBA Inputs'!$G36),'CBA Inputs'!$E36/('CBA Inputs'!$G36-'CBA Inputs'!$F36+1),0)*IF(AE$58=0,0,1)*CapitalCost_ACTIVE*AE$55</f>
        <v>0</v>
      </c>
      <c r="AF79" s="17">
        <f>-IF(AND(AF$58&gt;='CBA Inputs'!$F36,AF$58&lt;='CBA Inputs'!$G36),'CBA Inputs'!$E36/('CBA Inputs'!$G36-'CBA Inputs'!$F36+1),0)*IF(AF$58=0,0,1)*CapitalCost_ACTIVE*AF$55</f>
        <v>0</v>
      </c>
      <c r="AG79" s="17">
        <f>-IF(AND(AG$58&gt;='CBA Inputs'!$F36,AG$58&lt;='CBA Inputs'!$G36),'CBA Inputs'!$E36/('CBA Inputs'!$G36-'CBA Inputs'!$F36+1),0)*IF(AG$58=0,0,1)*CapitalCost_ACTIVE*AG$55</f>
        <v>0</v>
      </c>
      <c r="AH79" s="17">
        <f>-IF(AND(AH$58&gt;='CBA Inputs'!$F36,AH$58&lt;='CBA Inputs'!$G36),'CBA Inputs'!$E36/('CBA Inputs'!$G36-'CBA Inputs'!$F36+1),0)*IF(AH$58=0,0,1)*CapitalCost_ACTIVE*AH$55</f>
        <v>0</v>
      </c>
      <c r="AI79" s="17">
        <f>-IF(AND(AI$58&gt;='CBA Inputs'!$F36,AI$58&lt;='CBA Inputs'!$G36),'CBA Inputs'!$E36/('CBA Inputs'!$G36-'CBA Inputs'!$F36+1),0)*IF(AI$58=0,0,1)*CapitalCost_ACTIVE*AI$55</f>
        <v>0</v>
      </c>
      <c r="AJ79" s="17">
        <f>-IF(AND(AJ$58&gt;='CBA Inputs'!$F36,AJ$58&lt;='CBA Inputs'!$G36),'CBA Inputs'!$E36/('CBA Inputs'!$G36-'CBA Inputs'!$F36+1),0)*IF(AJ$58=0,0,1)*CapitalCost_ACTIVE*AJ$55</f>
        <v>0</v>
      </c>
      <c r="AK79" s="178">
        <f>IFERROR(PMT(DiscountRate_ACTIVE,'CBA Inputs'!I36,'CBA Inputs'!E36),0)</f>
        <v>-68190861.764331758</v>
      </c>
      <c r="AM79" s="24" t="str">
        <f>'CBA Inputs'!L36</f>
        <v/>
      </c>
      <c r="AN79" s="24">
        <f>'CBA Inputs'!M36</f>
        <v>0</v>
      </c>
      <c r="AO79" s="24">
        <f>'CBA Inputs'!N36</f>
        <v>0</v>
      </c>
      <c r="AP79" s="12" t="s">
        <v>35</v>
      </c>
      <c r="AQ79" s="18">
        <f t="shared" si="29"/>
        <v>0</v>
      </c>
      <c r="AR79" s="17">
        <f>-IF(AND(G$58&gt;='CBA Inputs'!$P36,G$58&lt;='CBA Inputs'!$Q36),'CBA Inputs'!$O36/('CBA Inputs'!$Q36-'CBA Inputs'!$P36+1),0)*IF(G$58=0,0,1)*CapitalCost_ACTIVE*G$55*IF(Scenario_Select='CBA Inputs'!$T36,1,0)</f>
        <v>0</v>
      </c>
      <c r="AS79" s="17">
        <f>-IF(AND(H$58&gt;='CBA Inputs'!$P36,H$58&lt;='CBA Inputs'!$Q36),'CBA Inputs'!$O36/('CBA Inputs'!$Q36-'CBA Inputs'!$P36+1),0)*IF(H$58=0,0,1)*CapitalCost_ACTIVE*H$55*IF(Scenario_Select='CBA Inputs'!$T36,1,0)</f>
        <v>0</v>
      </c>
      <c r="AT79" s="17">
        <f>-IF(AND(I$58&gt;='CBA Inputs'!$P36,I$58&lt;='CBA Inputs'!$Q36),'CBA Inputs'!$O36/('CBA Inputs'!$Q36-'CBA Inputs'!$P36+1),0)*IF(I$58=0,0,1)*CapitalCost_ACTIVE*I$55*IF(Scenario_Select='CBA Inputs'!$T36,1,0)</f>
        <v>0</v>
      </c>
      <c r="AU79" s="17">
        <f>-IF(AND(J$58&gt;='CBA Inputs'!$P36,J$58&lt;='CBA Inputs'!$Q36),'CBA Inputs'!$O36/('CBA Inputs'!$Q36-'CBA Inputs'!$P36+1),0)*IF(J$58=0,0,1)*CapitalCost_ACTIVE*J$55*IF(Scenario_Select='CBA Inputs'!$T36,1,0)</f>
        <v>0</v>
      </c>
      <c r="AV79" s="17">
        <f>-IF(AND(K$58&gt;='CBA Inputs'!$P36,K$58&lt;='CBA Inputs'!$Q36),'CBA Inputs'!$O36/('CBA Inputs'!$Q36-'CBA Inputs'!$P36+1),0)*IF(K$58=0,0,1)*CapitalCost_ACTIVE*K$55*IF(Scenario_Select='CBA Inputs'!$T36,1,0)</f>
        <v>0</v>
      </c>
      <c r="AW79" s="17">
        <f>-IF(AND(L$58&gt;='CBA Inputs'!$P36,L$58&lt;='CBA Inputs'!$Q36),'CBA Inputs'!$O36/('CBA Inputs'!$Q36-'CBA Inputs'!$P36+1),0)*IF(L$58=0,0,1)*CapitalCost_ACTIVE*L$55*IF(Scenario_Select='CBA Inputs'!$T36,1,0)</f>
        <v>0</v>
      </c>
      <c r="AX79" s="17">
        <f>-IF(AND(M$58&gt;='CBA Inputs'!$P36,M$58&lt;='CBA Inputs'!$Q36),'CBA Inputs'!$O36/('CBA Inputs'!$Q36-'CBA Inputs'!$P36+1),0)*IF(M$58=0,0,1)*CapitalCost_ACTIVE*M$55*IF(Scenario_Select='CBA Inputs'!$T36,1,0)</f>
        <v>0</v>
      </c>
      <c r="AY79" s="17">
        <f>-IF(AND(N$58&gt;='CBA Inputs'!$P36,N$58&lt;='CBA Inputs'!$Q36),'CBA Inputs'!$O36/('CBA Inputs'!$Q36-'CBA Inputs'!$P36+1),0)*IF(N$58=0,0,1)*CapitalCost_ACTIVE*N$55*IF(Scenario_Select='CBA Inputs'!$T36,1,0)</f>
        <v>0</v>
      </c>
      <c r="AZ79" s="17">
        <f>-IF(AND(O$58&gt;='CBA Inputs'!$P36,O$58&lt;='CBA Inputs'!$Q36),'CBA Inputs'!$O36/('CBA Inputs'!$Q36-'CBA Inputs'!$P36+1),0)*IF(O$58=0,0,1)*CapitalCost_ACTIVE*O$55*IF(Scenario_Select='CBA Inputs'!$T36,1,0)</f>
        <v>0</v>
      </c>
      <c r="BA79" s="17">
        <f>-IF(AND(P$58&gt;='CBA Inputs'!$P36,P$58&lt;='CBA Inputs'!$Q36),'CBA Inputs'!$O36/('CBA Inputs'!$Q36-'CBA Inputs'!$P36+1),0)*IF(P$58=0,0,1)*CapitalCost_ACTIVE*P$55*IF(Scenario_Select='CBA Inputs'!$T36,1,0)</f>
        <v>0</v>
      </c>
      <c r="BB79" s="17">
        <f>-IF(AND(Q$58&gt;='CBA Inputs'!$P36,Q$58&lt;='CBA Inputs'!$Q36),'CBA Inputs'!$O36/('CBA Inputs'!$Q36-'CBA Inputs'!$P36+1),0)*IF(Q$58=0,0,1)*CapitalCost_ACTIVE*Q$55*IF(Scenario_Select='CBA Inputs'!$T36,1,0)</f>
        <v>0</v>
      </c>
      <c r="BC79" s="17">
        <f>-IF(AND(R$58&gt;='CBA Inputs'!$P36,R$58&lt;='CBA Inputs'!$Q36),'CBA Inputs'!$O36/('CBA Inputs'!$Q36-'CBA Inputs'!$P36+1),0)*IF(R$58=0,0,1)*CapitalCost_ACTIVE*R$55*IF(Scenario_Select='CBA Inputs'!$T36,1,0)</f>
        <v>0</v>
      </c>
      <c r="BD79" s="17">
        <f>-IF(AND(S$58&gt;='CBA Inputs'!$P36,S$58&lt;='CBA Inputs'!$Q36),'CBA Inputs'!$O36/('CBA Inputs'!$Q36-'CBA Inputs'!$P36+1),0)*IF(S$58=0,0,1)*CapitalCost_ACTIVE*S$55*IF(Scenario_Select='CBA Inputs'!$T36,1,0)</f>
        <v>0</v>
      </c>
      <c r="BE79" s="17">
        <f>-IF(AND(T$58&gt;='CBA Inputs'!$P36,T$58&lt;='CBA Inputs'!$Q36),'CBA Inputs'!$O36/('CBA Inputs'!$Q36-'CBA Inputs'!$P36+1),0)*IF(T$58=0,0,1)*CapitalCost_ACTIVE*T$55*IF(Scenario_Select='CBA Inputs'!$T36,1,0)</f>
        <v>0</v>
      </c>
      <c r="BF79" s="17">
        <f>-IF(AND(U$58&gt;='CBA Inputs'!$P36,U$58&lt;='CBA Inputs'!$Q36),'CBA Inputs'!$O36/('CBA Inputs'!$Q36-'CBA Inputs'!$P36+1),0)*IF(U$58=0,0,1)*CapitalCost_ACTIVE*U$55*IF(Scenario_Select='CBA Inputs'!$T36,1,0)</f>
        <v>0</v>
      </c>
      <c r="BG79" s="17">
        <f>-IF(AND(V$58&gt;='CBA Inputs'!$P36,V$58&lt;='CBA Inputs'!$Q36),'CBA Inputs'!$O36/('CBA Inputs'!$Q36-'CBA Inputs'!$P36+1),0)*IF(V$58=0,0,1)*CapitalCost_ACTIVE*V$55*IF(Scenario_Select='CBA Inputs'!$T36,1,0)</f>
        <v>0</v>
      </c>
      <c r="BH79" s="17">
        <f>-IF(AND(W$58&gt;='CBA Inputs'!$P36,W$58&lt;='CBA Inputs'!$Q36),'CBA Inputs'!$O36/('CBA Inputs'!$Q36-'CBA Inputs'!$P36+1),0)*IF(W$58=0,0,1)*CapitalCost_ACTIVE*W$55*IF(Scenario_Select='CBA Inputs'!$T36,1,0)</f>
        <v>0</v>
      </c>
      <c r="BI79" s="17">
        <f>-IF(AND(X$58&gt;='CBA Inputs'!$P36,X$58&lt;='CBA Inputs'!$Q36),'CBA Inputs'!$O36/('CBA Inputs'!$Q36-'CBA Inputs'!$P36+1),0)*IF(X$58=0,0,1)*CapitalCost_ACTIVE*X$55*IF(Scenario_Select='CBA Inputs'!$T36,1,0)</f>
        <v>0</v>
      </c>
      <c r="BJ79" s="17">
        <f>-IF(AND(Y$58&gt;='CBA Inputs'!$P36,Y$58&lt;='CBA Inputs'!$Q36),'CBA Inputs'!$O36/('CBA Inputs'!$Q36-'CBA Inputs'!$P36+1),0)*IF(Y$58=0,0,1)*CapitalCost_ACTIVE*Y$55*IF(Scenario_Select='CBA Inputs'!$T36,1,0)</f>
        <v>0</v>
      </c>
      <c r="BK79" s="17">
        <f>-IF(AND(Z$58&gt;='CBA Inputs'!$P36,Z$58&lt;='CBA Inputs'!$Q36),'CBA Inputs'!$O36/('CBA Inputs'!$Q36-'CBA Inputs'!$P36+1),0)*IF(Z$58=0,0,1)*CapitalCost_ACTIVE*Z$55*IF(Scenario_Select='CBA Inputs'!$T36,1,0)</f>
        <v>0</v>
      </c>
      <c r="BL79" s="17">
        <f>-IF(AND(AA$58&gt;='CBA Inputs'!$P36,AA$58&lt;='CBA Inputs'!$Q36),'CBA Inputs'!$O36/('CBA Inputs'!$Q36-'CBA Inputs'!$P36+1),0)*IF(AA$58=0,0,1)*CapitalCost_ACTIVE*AA$55*IF(Scenario_Select='CBA Inputs'!$T36,1,0)</f>
        <v>0</v>
      </c>
      <c r="BM79" s="17">
        <f>-IF(AND(AB$58&gt;='CBA Inputs'!$P36,AB$58&lt;='CBA Inputs'!$Q36),'CBA Inputs'!$O36/('CBA Inputs'!$Q36-'CBA Inputs'!$P36+1),0)*IF(AB$58=0,0,1)*CapitalCost_ACTIVE*AB$55*IF(Scenario_Select='CBA Inputs'!$T36,1,0)</f>
        <v>0</v>
      </c>
      <c r="BN79" s="17">
        <f>-IF(AND(AC$58&gt;='CBA Inputs'!$P36,AC$58&lt;='CBA Inputs'!$Q36),'CBA Inputs'!$O36/('CBA Inputs'!$Q36-'CBA Inputs'!$P36+1),0)*IF(AC$58=0,0,1)*CapitalCost_ACTIVE*AC$55*IF(Scenario_Select='CBA Inputs'!$T36,1,0)</f>
        <v>0</v>
      </c>
      <c r="BO79" s="17">
        <f>-IF(AND(AD$58&gt;='CBA Inputs'!$P36,AD$58&lt;='CBA Inputs'!$Q36),'CBA Inputs'!$O36/('CBA Inputs'!$Q36-'CBA Inputs'!$P36+1),0)*IF(AD$58=0,0,1)*CapitalCost_ACTIVE*AD$55*IF(Scenario_Select='CBA Inputs'!$T36,1,0)</f>
        <v>0</v>
      </c>
      <c r="BP79" s="17">
        <f>-IF(AND(AE$58&gt;='CBA Inputs'!$P36,AE$58&lt;='CBA Inputs'!$Q36),'CBA Inputs'!$O36/('CBA Inputs'!$Q36-'CBA Inputs'!$P36+1),0)*IF(AE$58=0,0,1)*CapitalCost_ACTIVE*AE$55*IF(Scenario_Select='CBA Inputs'!$T36,1,0)</f>
        <v>0</v>
      </c>
      <c r="BQ79" s="17">
        <f>-IF(AND(AF$58&gt;='CBA Inputs'!$P36,AF$58&lt;='CBA Inputs'!$Q36),'CBA Inputs'!$O36/('CBA Inputs'!$Q36-'CBA Inputs'!$P36+1),0)*IF(AF$58=0,0,1)*CapitalCost_ACTIVE*AF$55*IF(Scenario_Select='CBA Inputs'!$T36,1,0)</f>
        <v>0</v>
      </c>
      <c r="BR79" s="17">
        <f>-IF(AND(AG$58&gt;='CBA Inputs'!$P36,AG$58&lt;='CBA Inputs'!$Q36),'CBA Inputs'!$O36/('CBA Inputs'!$Q36-'CBA Inputs'!$P36+1),0)*IF(AG$58=0,0,1)*CapitalCost_ACTIVE*AG$55*IF(Scenario_Select='CBA Inputs'!$T36,1,0)</f>
        <v>0</v>
      </c>
      <c r="BS79" s="17">
        <f>-IF(AND(AH$58&gt;='CBA Inputs'!$P36,AH$58&lt;='CBA Inputs'!$Q36),'CBA Inputs'!$O36/('CBA Inputs'!$Q36-'CBA Inputs'!$P36+1),0)*IF(AH$58=0,0,1)*CapitalCost_ACTIVE*AH$55*IF(Scenario_Select='CBA Inputs'!$T36,1,0)</f>
        <v>0</v>
      </c>
      <c r="BT79" s="17">
        <f>-IF(AND(AI$58&gt;='CBA Inputs'!$P36,AI$58&lt;='CBA Inputs'!$Q36),'CBA Inputs'!$O36/('CBA Inputs'!$Q36-'CBA Inputs'!$P36+1),0)*IF(AI$58=0,0,1)*CapitalCost_ACTIVE*AI$55*IF(Scenario_Select='CBA Inputs'!$T36,1,0)</f>
        <v>0</v>
      </c>
      <c r="BU79" s="17">
        <f>-IF(AND(AJ$58&gt;='CBA Inputs'!$P36,AJ$58&lt;='CBA Inputs'!$Q36),'CBA Inputs'!$O36/('CBA Inputs'!$Q36-'CBA Inputs'!$P36+1),0)*IF(AJ$58=0,0,1)*CapitalCost_ACTIVE*AJ$55*IF(Scenario_Select='CBA Inputs'!$T36,1,0)</f>
        <v>0</v>
      </c>
      <c r="BV79" s="178">
        <f>IFERROR(PMT(DiscountRate_ACTIVE,'CBA Inputs'!S36,'CBA Inputs'!O36),0)*IF(Scenario_Select='CBA Inputs'!$T36,1,0)</f>
        <v>0</v>
      </c>
    </row>
    <row r="80" spans="1:74" x14ac:dyDescent="0.35">
      <c r="B80" s="24">
        <f>+'CBA Inputs'!B37</f>
        <v>9</v>
      </c>
      <c r="C80" s="25" t="str">
        <f>+'CBA Inputs'!C37</f>
        <v>Option 3C</v>
      </c>
      <c r="D80" s="25" t="str">
        <f>'CBA Inputs'!D37</f>
        <v>Substation</v>
      </c>
      <c r="E80" s="12" t="s">
        <v>35</v>
      </c>
      <c r="F80" s="18">
        <f t="shared" si="28"/>
        <v>-230089889.41789663</v>
      </c>
      <c r="G80" s="17">
        <f>-IF(AND(G$58&gt;='CBA Inputs'!$F37,G$58&lt;='CBA Inputs'!$G37),'CBA Inputs'!$E37/('CBA Inputs'!$G37-'CBA Inputs'!$F37+1),0)*IF(G$58=0,0,1)*CapitalCost_ACTIVE*G$55</f>
        <v>0</v>
      </c>
      <c r="H80" s="17">
        <f>-IF(AND(H$58&gt;='CBA Inputs'!$F37,H$58&lt;='CBA Inputs'!$G37),'CBA Inputs'!$E37/('CBA Inputs'!$G37-'CBA Inputs'!$F37+1),0)*IF(H$58=0,0,1)*CapitalCost_ACTIVE*H$55</f>
        <v>-66250000</v>
      </c>
      <c r="I80" s="17">
        <f>-IF(AND(I$58&gt;='CBA Inputs'!$F37,I$58&lt;='CBA Inputs'!$G37),'CBA Inputs'!$E37/('CBA Inputs'!$G37-'CBA Inputs'!$F37+1),0)*IF(I$58=0,0,1)*CapitalCost_ACTIVE*I$55</f>
        <v>-66250000</v>
      </c>
      <c r="J80" s="17">
        <f>-IF(AND(J$58&gt;='CBA Inputs'!$F37,J$58&lt;='CBA Inputs'!$G37),'CBA Inputs'!$E37/('CBA Inputs'!$G37-'CBA Inputs'!$F37+1),0)*IF(J$58=0,0,1)*CapitalCost_ACTIVE*J$55</f>
        <v>-66250000</v>
      </c>
      <c r="K80" s="17">
        <f>-IF(AND(K$58&gt;='CBA Inputs'!$F37,K$58&lt;='CBA Inputs'!$G37),'CBA Inputs'!$E37/('CBA Inputs'!$G37-'CBA Inputs'!$F37+1),0)*IF(K$58=0,0,1)*CapitalCost_ACTIVE*K$55</f>
        <v>-66250000</v>
      </c>
      <c r="L80" s="17">
        <f>-IF(AND(L$58&gt;='CBA Inputs'!$F37,L$58&lt;='CBA Inputs'!$G37),'CBA Inputs'!$E37/('CBA Inputs'!$G37-'CBA Inputs'!$F37+1),0)*IF(L$58=0,0,1)*CapitalCost_ACTIVE*L$55</f>
        <v>0</v>
      </c>
      <c r="M80" s="17">
        <f>-IF(AND(M$58&gt;='CBA Inputs'!$F37,M$58&lt;='CBA Inputs'!$G37),'CBA Inputs'!$E37/('CBA Inputs'!$G37-'CBA Inputs'!$F37+1),0)*IF(M$58=0,0,1)*CapitalCost_ACTIVE*M$55</f>
        <v>0</v>
      </c>
      <c r="N80" s="17">
        <f>-IF(AND(N$58&gt;='CBA Inputs'!$F37,N$58&lt;='CBA Inputs'!$G37),'CBA Inputs'!$E37/('CBA Inputs'!$G37-'CBA Inputs'!$F37+1),0)*IF(N$58=0,0,1)*CapitalCost_ACTIVE*N$55</f>
        <v>0</v>
      </c>
      <c r="O80" s="17">
        <f>-IF(AND(O$58&gt;='CBA Inputs'!$F37,O$58&lt;='CBA Inputs'!$G37),'CBA Inputs'!$E37/('CBA Inputs'!$G37-'CBA Inputs'!$F37+1),0)*IF(O$58=0,0,1)*CapitalCost_ACTIVE*O$55</f>
        <v>0</v>
      </c>
      <c r="P80" s="17">
        <f>-IF(AND(P$58&gt;='CBA Inputs'!$F37,P$58&lt;='CBA Inputs'!$G37),'CBA Inputs'!$E37/('CBA Inputs'!$G37-'CBA Inputs'!$F37+1),0)*IF(P$58=0,0,1)*CapitalCost_ACTIVE*P$55</f>
        <v>0</v>
      </c>
      <c r="Q80" s="17">
        <f>-IF(AND(Q$58&gt;='CBA Inputs'!$F37,Q$58&lt;='CBA Inputs'!$G37),'CBA Inputs'!$E37/('CBA Inputs'!$G37-'CBA Inputs'!$F37+1),0)*IF(Q$58=0,0,1)*CapitalCost_ACTIVE*Q$55</f>
        <v>0</v>
      </c>
      <c r="R80" s="17">
        <f>-IF(AND(R$58&gt;='CBA Inputs'!$F37,R$58&lt;='CBA Inputs'!$G37),'CBA Inputs'!$E37/('CBA Inputs'!$G37-'CBA Inputs'!$F37+1),0)*IF(R$58=0,0,1)*CapitalCost_ACTIVE*R$55</f>
        <v>0</v>
      </c>
      <c r="S80" s="17">
        <f>-IF(AND(S$58&gt;='CBA Inputs'!$F37,S$58&lt;='CBA Inputs'!$G37),'CBA Inputs'!$E37/('CBA Inputs'!$G37-'CBA Inputs'!$F37+1),0)*IF(S$58=0,0,1)*CapitalCost_ACTIVE*S$55</f>
        <v>0</v>
      </c>
      <c r="T80" s="17">
        <f>-IF(AND(T$58&gt;='CBA Inputs'!$F37,T$58&lt;='CBA Inputs'!$G37),'CBA Inputs'!$E37/('CBA Inputs'!$G37-'CBA Inputs'!$F37+1),0)*IF(T$58=0,0,1)*CapitalCost_ACTIVE*T$55</f>
        <v>0</v>
      </c>
      <c r="U80" s="17">
        <f>-IF(AND(U$58&gt;='CBA Inputs'!$F37,U$58&lt;='CBA Inputs'!$G37),'CBA Inputs'!$E37/('CBA Inputs'!$G37-'CBA Inputs'!$F37+1),0)*IF(U$58=0,0,1)*CapitalCost_ACTIVE*U$55</f>
        <v>0</v>
      </c>
      <c r="V80" s="17">
        <f>-IF(AND(V$58&gt;='CBA Inputs'!$F37,V$58&lt;='CBA Inputs'!$G37),'CBA Inputs'!$E37/('CBA Inputs'!$G37-'CBA Inputs'!$F37+1),0)*IF(V$58=0,0,1)*CapitalCost_ACTIVE*V$55</f>
        <v>0</v>
      </c>
      <c r="W80" s="17">
        <f>-IF(AND(W$58&gt;='CBA Inputs'!$F37,W$58&lt;='CBA Inputs'!$G37),'CBA Inputs'!$E37/('CBA Inputs'!$G37-'CBA Inputs'!$F37+1),0)*IF(W$58=0,0,1)*CapitalCost_ACTIVE*W$55</f>
        <v>0</v>
      </c>
      <c r="X80" s="17">
        <f>-IF(AND(X$58&gt;='CBA Inputs'!$F37,X$58&lt;='CBA Inputs'!$G37),'CBA Inputs'!$E37/('CBA Inputs'!$G37-'CBA Inputs'!$F37+1),0)*IF(X$58=0,0,1)*CapitalCost_ACTIVE*X$55</f>
        <v>0</v>
      </c>
      <c r="Y80" s="17">
        <f>-IF(AND(Y$58&gt;='CBA Inputs'!$F37,Y$58&lt;='CBA Inputs'!$G37),'CBA Inputs'!$E37/('CBA Inputs'!$G37-'CBA Inputs'!$F37+1),0)*IF(Y$58=0,0,1)*CapitalCost_ACTIVE*Y$55</f>
        <v>0</v>
      </c>
      <c r="Z80" s="17">
        <f>-IF(AND(Z$58&gt;='CBA Inputs'!$F37,Z$58&lt;='CBA Inputs'!$G37),'CBA Inputs'!$E37/('CBA Inputs'!$G37-'CBA Inputs'!$F37+1),0)*IF(Z$58=0,0,1)*CapitalCost_ACTIVE*Z$55</f>
        <v>0</v>
      </c>
      <c r="AA80" s="17">
        <f>-IF(AND(AA$58&gt;='CBA Inputs'!$F37,AA$58&lt;='CBA Inputs'!$G37),'CBA Inputs'!$E37/('CBA Inputs'!$G37-'CBA Inputs'!$F37+1),0)*IF(AA$58=0,0,1)*CapitalCost_ACTIVE*AA$55</f>
        <v>0</v>
      </c>
      <c r="AB80" s="17">
        <f>-IF(AND(AB$58&gt;='CBA Inputs'!$F37,AB$58&lt;='CBA Inputs'!$G37),'CBA Inputs'!$E37/('CBA Inputs'!$G37-'CBA Inputs'!$F37+1),0)*IF(AB$58=0,0,1)*CapitalCost_ACTIVE*AB$55</f>
        <v>0</v>
      </c>
      <c r="AC80" s="17">
        <f>-IF(AND(AC$58&gt;='CBA Inputs'!$F37,AC$58&lt;='CBA Inputs'!$G37),'CBA Inputs'!$E37/('CBA Inputs'!$G37-'CBA Inputs'!$F37+1),0)*IF(AC$58=0,0,1)*CapitalCost_ACTIVE*AC$55</f>
        <v>0</v>
      </c>
      <c r="AD80" s="17">
        <f>-IF(AND(AD$58&gt;='CBA Inputs'!$F37,AD$58&lt;='CBA Inputs'!$G37),'CBA Inputs'!$E37/('CBA Inputs'!$G37-'CBA Inputs'!$F37+1),0)*IF(AD$58=0,0,1)*CapitalCost_ACTIVE*AD$55</f>
        <v>0</v>
      </c>
      <c r="AE80" s="17">
        <f>-IF(AND(AE$58&gt;='CBA Inputs'!$F37,AE$58&lt;='CBA Inputs'!$G37),'CBA Inputs'!$E37/('CBA Inputs'!$G37-'CBA Inputs'!$F37+1),0)*IF(AE$58=0,0,1)*CapitalCost_ACTIVE*AE$55</f>
        <v>0</v>
      </c>
      <c r="AF80" s="17">
        <f>-IF(AND(AF$58&gt;='CBA Inputs'!$F37,AF$58&lt;='CBA Inputs'!$G37),'CBA Inputs'!$E37/('CBA Inputs'!$G37-'CBA Inputs'!$F37+1),0)*IF(AF$58=0,0,1)*CapitalCost_ACTIVE*AF$55</f>
        <v>0</v>
      </c>
      <c r="AG80" s="17">
        <f>-IF(AND(AG$58&gt;='CBA Inputs'!$F37,AG$58&lt;='CBA Inputs'!$G37),'CBA Inputs'!$E37/('CBA Inputs'!$G37-'CBA Inputs'!$F37+1),0)*IF(AG$58=0,0,1)*CapitalCost_ACTIVE*AG$55</f>
        <v>0</v>
      </c>
      <c r="AH80" s="17">
        <f>-IF(AND(AH$58&gt;='CBA Inputs'!$F37,AH$58&lt;='CBA Inputs'!$G37),'CBA Inputs'!$E37/('CBA Inputs'!$G37-'CBA Inputs'!$F37+1),0)*IF(AH$58=0,0,1)*CapitalCost_ACTIVE*AH$55</f>
        <v>0</v>
      </c>
      <c r="AI80" s="17">
        <f>-IF(AND(AI$58&gt;='CBA Inputs'!$F37,AI$58&lt;='CBA Inputs'!$G37),'CBA Inputs'!$E37/('CBA Inputs'!$G37-'CBA Inputs'!$F37+1),0)*IF(AI$58=0,0,1)*CapitalCost_ACTIVE*AI$55</f>
        <v>0</v>
      </c>
      <c r="AJ80" s="17">
        <f>-IF(AND(AJ$58&gt;='CBA Inputs'!$F37,AJ$58&lt;='CBA Inputs'!$G37),'CBA Inputs'!$E37/('CBA Inputs'!$G37-'CBA Inputs'!$F37+1),0)*IF(AJ$58=0,0,1)*CapitalCost_ACTIVE*AJ$55</f>
        <v>0</v>
      </c>
      <c r="AK80" s="178">
        <f>IFERROR(PMT(DiscountRate_ACTIVE,'CBA Inputs'!I37,'CBA Inputs'!E37),0)</f>
        <v>-17390827.48343597</v>
      </c>
      <c r="AM80" s="24" t="str">
        <f>'CBA Inputs'!L37</f>
        <v/>
      </c>
      <c r="AN80" s="24">
        <f>'CBA Inputs'!M37</f>
        <v>0</v>
      </c>
      <c r="AO80" s="24">
        <f>'CBA Inputs'!N37</f>
        <v>0</v>
      </c>
      <c r="AP80" s="12" t="s">
        <v>35</v>
      </c>
      <c r="AQ80" s="18">
        <f t="shared" si="29"/>
        <v>0</v>
      </c>
      <c r="AR80" s="17">
        <f>-IF(AND(G$58&gt;='CBA Inputs'!$P37,G$58&lt;='CBA Inputs'!$Q37),'CBA Inputs'!$O37/('CBA Inputs'!$Q37-'CBA Inputs'!$P37+1),0)*IF(G$58=0,0,1)*CapitalCost_ACTIVE*G$55*IF(Scenario_Select='CBA Inputs'!$T37,1,0)</f>
        <v>0</v>
      </c>
      <c r="AS80" s="17">
        <f>-IF(AND(H$58&gt;='CBA Inputs'!$P37,H$58&lt;='CBA Inputs'!$Q37),'CBA Inputs'!$O37/('CBA Inputs'!$Q37-'CBA Inputs'!$P37+1),0)*IF(H$58=0,0,1)*CapitalCost_ACTIVE*H$55*IF(Scenario_Select='CBA Inputs'!$T37,1,0)</f>
        <v>0</v>
      </c>
      <c r="AT80" s="17">
        <f>-IF(AND(I$58&gt;='CBA Inputs'!$P37,I$58&lt;='CBA Inputs'!$Q37),'CBA Inputs'!$O37/('CBA Inputs'!$Q37-'CBA Inputs'!$P37+1),0)*IF(I$58=0,0,1)*CapitalCost_ACTIVE*I$55*IF(Scenario_Select='CBA Inputs'!$T37,1,0)</f>
        <v>0</v>
      </c>
      <c r="AU80" s="17">
        <f>-IF(AND(J$58&gt;='CBA Inputs'!$P37,J$58&lt;='CBA Inputs'!$Q37),'CBA Inputs'!$O37/('CBA Inputs'!$Q37-'CBA Inputs'!$P37+1),0)*IF(J$58=0,0,1)*CapitalCost_ACTIVE*J$55*IF(Scenario_Select='CBA Inputs'!$T37,1,0)</f>
        <v>0</v>
      </c>
      <c r="AV80" s="17">
        <f>-IF(AND(K$58&gt;='CBA Inputs'!$P37,K$58&lt;='CBA Inputs'!$Q37),'CBA Inputs'!$O37/('CBA Inputs'!$Q37-'CBA Inputs'!$P37+1),0)*IF(K$58=0,0,1)*CapitalCost_ACTIVE*K$55*IF(Scenario_Select='CBA Inputs'!$T37,1,0)</f>
        <v>0</v>
      </c>
      <c r="AW80" s="17">
        <f>-IF(AND(L$58&gt;='CBA Inputs'!$P37,L$58&lt;='CBA Inputs'!$Q37),'CBA Inputs'!$O37/('CBA Inputs'!$Q37-'CBA Inputs'!$P37+1),0)*IF(L$58=0,0,1)*CapitalCost_ACTIVE*L$55*IF(Scenario_Select='CBA Inputs'!$T37,1,0)</f>
        <v>0</v>
      </c>
      <c r="AX80" s="17">
        <f>-IF(AND(M$58&gt;='CBA Inputs'!$P37,M$58&lt;='CBA Inputs'!$Q37),'CBA Inputs'!$O37/('CBA Inputs'!$Q37-'CBA Inputs'!$P37+1),0)*IF(M$58=0,0,1)*CapitalCost_ACTIVE*M$55*IF(Scenario_Select='CBA Inputs'!$T37,1,0)</f>
        <v>0</v>
      </c>
      <c r="AY80" s="17">
        <f>-IF(AND(N$58&gt;='CBA Inputs'!$P37,N$58&lt;='CBA Inputs'!$Q37),'CBA Inputs'!$O37/('CBA Inputs'!$Q37-'CBA Inputs'!$P37+1),0)*IF(N$58=0,0,1)*CapitalCost_ACTIVE*N$55*IF(Scenario_Select='CBA Inputs'!$T37,1,0)</f>
        <v>0</v>
      </c>
      <c r="AZ80" s="17">
        <f>-IF(AND(O$58&gt;='CBA Inputs'!$P37,O$58&lt;='CBA Inputs'!$Q37),'CBA Inputs'!$O37/('CBA Inputs'!$Q37-'CBA Inputs'!$P37+1),0)*IF(O$58=0,0,1)*CapitalCost_ACTIVE*O$55*IF(Scenario_Select='CBA Inputs'!$T37,1,0)</f>
        <v>0</v>
      </c>
      <c r="BA80" s="17">
        <f>-IF(AND(P$58&gt;='CBA Inputs'!$P37,P$58&lt;='CBA Inputs'!$Q37),'CBA Inputs'!$O37/('CBA Inputs'!$Q37-'CBA Inputs'!$P37+1),0)*IF(P$58=0,0,1)*CapitalCost_ACTIVE*P$55*IF(Scenario_Select='CBA Inputs'!$T37,1,0)</f>
        <v>0</v>
      </c>
      <c r="BB80" s="17">
        <f>-IF(AND(Q$58&gt;='CBA Inputs'!$P37,Q$58&lt;='CBA Inputs'!$Q37),'CBA Inputs'!$O37/('CBA Inputs'!$Q37-'CBA Inputs'!$P37+1),0)*IF(Q$58=0,0,1)*CapitalCost_ACTIVE*Q$55*IF(Scenario_Select='CBA Inputs'!$T37,1,0)</f>
        <v>0</v>
      </c>
      <c r="BC80" s="17">
        <f>-IF(AND(R$58&gt;='CBA Inputs'!$P37,R$58&lt;='CBA Inputs'!$Q37),'CBA Inputs'!$O37/('CBA Inputs'!$Q37-'CBA Inputs'!$P37+1),0)*IF(R$58=0,0,1)*CapitalCost_ACTIVE*R$55*IF(Scenario_Select='CBA Inputs'!$T37,1,0)</f>
        <v>0</v>
      </c>
      <c r="BD80" s="17">
        <f>-IF(AND(S$58&gt;='CBA Inputs'!$P37,S$58&lt;='CBA Inputs'!$Q37),'CBA Inputs'!$O37/('CBA Inputs'!$Q37-'CBA Inputs'!$P37+1),0)*IF(S$58=0,0,1)*CapitalCost_ACTIVE*S$55*IF(Scenario_Select='CBA Inputs'!$T37,1,0)</f>
        <v>0</v>
      </c>
      <c r="BE80" s="17">
        <f>-IF(AND(T$58&gt;='CBA Inputs'!$P37,T$58&lt;='CBA Inputs'!$Q37),'CBA Inputs'!$O37/('CBA Inputs'!$Q37-'CBA Inputs'!$P37+1),0)*IF(T$58=0,0,1)*CapitalCost_ACTIVE*T$55*IF(Scenario_Select='CBA Inputs'!$T37,1,0)</f>
        <v>0</v>
      </c>
      <c r="BF80" s="17">
        <f>-IF(AND(U$58&gt;='CBA Inputs'!$P37,U$58&lt;='CBA Inputs'!$Q37),'CBA Inputs'!$O37/('CBA Inputs'!$Q37-'CBA Inputs'!$P37+1),0)*IF(U$58=0,0,1)*CapitalCost_ACTIVE*U$55*IF(Scenario_Select='CBA Inputs'!$T37,1,0)</f>
        <v>0</v>
      </c>
      <c r="BG80" s="17">
        <f>-IF(AND(V$58&gt;='CBA Inputs'!$P37,V$58&lt;='CBA Inputs'!$Q37),'CBA Inputs'!$O37/('CBA Inputs'!$Q37-'CBA Inputs'!$P37+1),0)*IF(V$58=0,0,1)*CapitalCost_ACTIVE*V$55*IF(Scenario_Select='CBA Inputs'!$T37,1,0)</f>
        <v>0</v>
      </c>
      <c r="BH80" s="17">
        <f>-IF(AND(W$58&gt;='CBA Inputs'!$P37,W$58&lt;='CBA Inputs'!$Q37),'CBA Inputs'!$O37/('CBA Inputs'!$Q37-'CBA Inputs'!$P37+1),0)*IF(W$58=0,0,1)*CapitalCost_ACTIVE*W$55*IF(Scenario_Select='CBA Inputs'!$T37,1,0)</f>
        <v>0</v>
      </c>
      <c r="BI80" s="17">
        <f>-IF(AND(X$58&gt;='CBA Inputs'!$P37,X$58&lt;='CBA Inputs'!$Q37),'CBA Inputs'!$O37/('CBA Inputs'!$Q37-'CBA Inputs'!$P37+1),0)*IF(X$58=0,0,1)*CapitalCost_ACTIVE*X$55*IF(Scenario_Select='CBA Inputs'!$T37,1,0)</f>
        <v>0</v>
      </c>
      <c r="BJ80" s="17">
        <f>-IF(AND(Y$58&gt;='CBA Inputs'!$P37,Y$58&lt;='CBA Inputs'!$Q37),'CBA Inputs'!$O37/('CBA Inputs'!$Q37-'CBA Inputs'!$P37+1),0)*IF(Y$58=0,0,1)*CapitalCost_ACTIVE*Y$55*IF(Scenario_Select='CBA Inputs'!$T37,1,0)</f>
        <v>0</v>
      </c>
      <c r="BK80" s="17">
        <f>-IF(AND(Z$58&gt;='CBA Inputs'!$P37,Z$58&lt;='CBA Inputs'!$Q37),'CBA Inputs'!$O37/('CBA Inputs'!$Q37-'CBA Inputs'!$P37+1),0)*IF(Z$58=0,0,1)*CapitalCost_ACTIVE*Z$55*IF(Scenario_Select='CBA Inputs'!$T37,1,0)</f>
        <v>0</v>
      </c>
      <c r="BL80" s="17">
        <f>-IF(AND(AA$58&gt;='CBA Inputs'!$P37,AA$58&lt;='CBA Inputs'!$Q37),'CBA Inputs'!$O37/('CBA Inputs'!$Q37-'CBA Inputs'!$P37+1),0)*IF(AA$58=0,0,1)*CapitalCost_ACTIVE*AA$55*IF(Scenario_Select='CBA Inputs'!$T37,1,0)</f>
        <v>0</v>
      </c>
      <c r="BM80" s="17">
        <f>-IF(AND(AB$58&gt;='CBA Inputs'!$P37,AB$58&lt;='CBA Inputs'!$Q37),'CBA Inputs'!$O37/('CBA Inputs'!$Q37-'CBA Inputs'!$P37+1),0)*IF(AB$58=0,0,1)*CapitalCost_ACTIVE*AB$55*IF(Scenario_Select='CBA Inputs'!$T37,1,0)</f>
        <v>0</v>
      </c>
      <c r="BN80" s="17">
        <f>-IF(AND(AC$58&gt;='CBA Inputs'!$P37,AC$58&lt;='CBA Inputs'!$Q37),'CBA Inputs'!$O37/('CBA Inputs'!$Q37-'CBA Inputs'!$P37+1),0)*IF(AC$58=0,0,1)*CapitalCost_ACTIVE*AC$55*IF(Scenario_Select='CBA Inputs'!$T37,1,0)</f>
        <v>0</v>
      </c>
      <c r="BO80" s="17">
        <f>-IF(AND(AD$58&gt;='CBA Inputs'!$P37,AD$58&lt;='CBA Inputs'!$Q37),'CBA Inputs'!$O37/('CBA Inputs'!$Q37-'CBA Inputs'!$P37+1),0)*IF(AD$58=0,0,1)*CapitalCost_ACTIVE*AD$55*IF(Scenario_Select='CBA Inputs'!$T37,1,0)</f>
        <v>0</v>
      </c>
      <c r="BP80" s="17">
        <f>-IF(AND(AE$58&gt;='CBA Inputs'!$P37,AE$58&lt;='CBA Inputs'!$Q37),'CBA Inputs'!$O37/('CBA Inputs'!$Q37-'CBA Inputs'!$P37+1),0)*IF(AE$58=0,0,1)*CapitalCost_ACTIVE*AE$55*IF(Scenario_Select='CBA Inputs'!$T37,1,0)</f>
        <v>0</v>
      </c>
      <c r="BQ80" s="17">
        <f>-IF(AND(AF$58&gt;='CBA Inputs'!$P37,AF$58&lt;='CBA Inputs'!$Q37),'CBA Inputs'!$O37/('CBA Inputs'!$Q37-'CBA Inputs'!$P37+1),0)*IF(AF$58=0,0,1)*CapitalCost_ACTIVE*AF$55*IF(Scenario_Select='CBA Inputs'!$T37,1,0)</f>
        <v>0</v>
      </c>
      <c r="BR80" s="17">
        <f>-IF(AND(AG$58&gt;='CBA Inputs'!$P37,AG$58&lt;='CBA Inputs'!$Q37),'CBA Inputs'!$O37/('CBA Inputs'!$Q37-'CBA Inputs'!$P37+1),0)*IF(AG$58=0,0,1)*CapitalCost_ACTIVE*AG$55*IF(Scenario_Select='CBA Inputs'!$T37,1,0)</f>
        <v>0</v>
      </c>
      <c r="BS80" s="17">
        <f>-IF(AND(AH$58&gt;='CBA Inputs'!$P37,AH$58&lt;='CBA Inputs'!$Q37),'CBA Inputs'!$O37/('CBA Inputs'!$Q37-'CBA Inputs'!$P37+1),0)*IF(AH$58=0,0,1)*CapitalCost_ACTIVE*AH$55*IF(Scenario_Select='CBA Inputs'!$T37,1,0)</f>
        <v>0</v>
      </c>
      <c r="BT80" s="17">
        <f>-IF(AND(AI$58&gt;='CBA Inputs'!$P37,AI$58&lt;='CBA Inputs'!$Q37),'CBA Inputs'!$O37/('CBA Inputs'!$Q37-'CBA Inputs'!$P37+1),0)*IF(AI$58=0,0,1)*CapitalCost_ACTIVE*AI$55*IF(Scenario_Select='CBA Inputs'!$T37,1,0)</f>
        <v>0</v>
      </c>
      <c r="BU80" s="17">
        <f>-IF(AND(AJ$58&gt;='CBA Inputs'!$P37,AJ$58&lt;='CBA Inputs'!$Q37),'CBA Inputs'!$O37/('CBA Inputs'!$Q37-'CBA Inputs'!$P37+1),0)*IF(AJ$58=0,0,1)*CapitalCost_ACTIVE*AJ$55*IF(Scenario_Select='CBA Inputs'!$T37,1,0)</f>
        <v>0</v>
      </c>
      <c r="BV80" s="178">
        <f>IFERROR(PMT(DiscountRate_ACTIVE,'CBA Inputs'!S37,'CBA Inputs'!O37),0)*IF(Scenario_Select='CBA Inputs'!$T37,1,0)</f>
        <v>0</v>
      </c>
    </row>
    <row r="81" spans="2:74" x14ac:dyDescent="0.35">
      <c r="B81" s="24">
        <f>+'CBA Inputs'!B38</f>
        <v>10</v>
      </c>
      <c r="C81" s="25" t="str">
        <f>+'CBA Inputs'!C38</f>
        <v>Option 4A</v>
      </c>
      <c r="D81" s="25" t="str">
        <f>'CBA Inputs'!D38</f>
        <v>Lines</v>
      </c>
      <c r="E81" s="12" t="s">
        <v>35</v>
      </c>
      <c r="F81" s="18">
        <f t="shared" si="28"/>
        <v>-766676876.81510472</v>
      </c>
      <c r="G81" s="17">
        <f>-IF(AND(G$58&gt;='CBA Inputs'!$F38,G$58&lt;='CBA Inputs'!$G38),'CBA Inputs'!$E38/('CBA Inputs'!$G38-'CBA Inputs'!$F38+1),0)*IF(G$58=0,0,1)*CapitalCost_ACTIVE*G$55</f>
        <v>0</v>
      </c>
      <c r="H81" s="17">
        <f>-IF(AND(H$58&gt;='CBA Inputs'!$F38,H$58&lt;='CBA Inputs'!$G38),'CBA Inputs'!$E38/('CBA Inputs'!$G38-'CBA Inputs'!$F38+1),0)*IF(H$58=0,0,1)*CapitalCost_ACTIVE*H$55</f>
        <v>-220750000</v>
      </c>
      <c r="I81" s="17">
        <f>-IF(AND(I$58&gt;='CBA Inputs'!$F38,I$58&lt;='CBA Inputs'!$G38),'CBA Inputs'!$E38/('CBA Inputs'!$G38-'CBA Inputs'!$F38+1),0)*IF(I$58=0,0,1)*CapitalCost_ACTIVE*I$55</f>
        <v>-220750000</v>
      </c>
      <c r="J81" s="17">
        <f>-IF(AND(J$58&gt;='CBA Inputs'!$F38,J$58&lt;='CBA Inputs'!$G38),'CBA Inputs'!$E38/('CBA Inputs'!$G38-'CBA Inputs'!$F38+1),0)*IF(J$58=0,0,1)*CapitalCost_ACTIVE*J$55</f>
        <v>-220750000</v>
      </c>
      <c r="K81" s="17">
        <f>-IF(AND(K$58&gt;='CBA Inputs'!$F38,K$58&lt;='CBA Inputs'!$G38),'CBA Inputs'!$E38/('CBA Inputs'!$G38-'CBA Inputs'!$F38+1),0)*IF(K$58=0,0,1)*CapitalCost_ACTIVE*K$55</f>
        <v>-220750000</v>
      </c>
      <c r="L81" s="17">
        <f>-IF(AND(L$58&gt;='CBA Inputs'!$F38,L$58&lt;='CBA Inputs'!$G38),'CBA Inputs'!$E38/('CBA Inputs'!$G38-'CBA Inputs'!$F38+1),0)*IF(L$58=0,0,1)*CapitalCost_ACTIVE*L$55</f>
        <v>0</v>
      </c>
      <c r="M81" s="17">
        <f>-IF(AND(M$58&gt;='CBA Inputs'!$F38,M$58&lt;='CBA Inputs'!$G38),'CBA Inputs'!$E38/('CBA Inputs'!$G38-'CBA Inputs'!$F38+1),0)*IF(M$58=0,0,1)*CapitalCost_ACTIVE*M$55</f>
        <v>0</v>
      </c>
      <c r="N81" s="17">
        <f>-IF(AND(N$58&gt;='CBA Inputs'!$F38,N$58&lt;='CBA Inputs'!$G38),'CBA Inputs'!$E38/('CBA Inputs'!$G38-'CBA Inputs'!$F38+1),0)*IF(N$58=0,0,1)*CapitalCost_ACTIVE*N$55</f>
        <v>0</v>
      </c>
      <c r="O81" s="17">
        <f>-IF(AND(O$58&gt;='CBA Inputs'!$F38,O$58&lt;='CBA Inputs'!$G38),'CBA Inputs'!$E38/('CBA Inputs'!$G38-'CBA Inputs'!$F38+1),0)*IF(O$58=0,0,1)*CapitalCost_ACTIVE*O$55</f>
        <v>0</v>
      </c>
      <c r="P81" s="17">
        <f>-IF(AND(P$58&gt;='CBA Inputs'!$F38,P$58&lt;='CBA Inputs'!$G38),'CBA Inputs'!$E38/('CBA Inputs'!$G38-'CBA Inputs'!$F38+1),0)*IF(P$58=0,0,1)*CapitalCost_ACTIVE*P$55</f>
        <v>0</v>
      </c>
      <c r="Q81" s="17">
        <f>-IF(AND(Q$58&gt;='CBA Inputs'!$F38,Q$58&lt;='CBA Inputs'!$G38),'CBA Inputs'!$E38/('CBA Inputs'!$G38-'CBA Inputs'!$F38+1),0)*IF(Q$58=0,0,1)*CapitalCost_ACTIVE*Q$55</f>
        <v>0</v>
      </c>
      <c r="R81" s="17">
        <f>-IF(AND(R$58&gt;='CBA Inputs'!$F38,R$58&lt;='CBA Inputs'!$G38),'CBA Inputs'!$E38/('CBA Inputs'!$G38-'CBA Inputs'!$F38+1),0)*IF(R$58=0,0,1)*CapitalCost_ACTIVE*R$55</f>
        <v>0</v>
      </c>
      <c r="S81" s="17">
        <f>-IF(AND(S$58&gt;='CBA Inputs'!$F38,S$58&lt;='CBA Inputs'!$G38),'CBA Inputs'!$E38/('CBA Inputs'!$G38-'CBA Inputs'!$F38+1),0)*IF(S$58=0,0,1)*CapitalCost_ACTIVE*S$55</f>
        <v>0</v>
      </c>
      <c r="T81" s="17">
        <f>-IF(AND(T$58&gt;='CBA Inputs'!$F38,T$58&lt;='CBA Inputs'!$G38),'CBA Inputs'!$E38/('CBA Inputs'!$G38-'CBA Inputs'!$F38+1),0)*IF(T$58=0,0,1)*CapitalCost_ACTIVE*T$55</f>
        <v>0</v>
      </c>
      <c r="U81" s="17">
        <f>-IF(AND(U$58&gt;='CBA Inputs'!$F38,U$58&lt;='CBA Inputs'!$G38),'CBA Inputs'!$E38/('CBA Inputs'!$G38-'CBA Inputs'!$F38+1),0)*IF(U$58=0,0,1)*CapitalCost_ACTIVE*U$55</f>
        <v>0</v>
      </c>
      <c r="V81" s="17">
        <f>-IF(AND(V$58&gt;='CBA Inputs'!$F38,V$58&lt;='CBA Inputs'!$G38),'CBA Inputs'!$E38/('CBA Inputs'!$G38-'CBA Inputs'!$F38+1),0)*IF(V$58=0,0,1)*CapitalCost_ACTIVE*V$55</f>
        <v>0</v>
      </c>
      <c r="W81" s="17">
        <f>-IF(AND(W$58&gt;='CBA Inputs'!$F38,W$58&lt;='CBA Inputs'!$G38),'CBA Inputs'!$E38/('CBA Inputs'!$G38-'CBA Inputs'!$F38+1),0)*IF(W$58=0,0,1)*CapitalCost_ACTIVE*W$55</f>
        <v>0</v>
      </c>
      <c r="X81" s="17">
        <f>-IF(AND(X$58&gt;='CBA Inputs'!$F38,X$58&lt;='CBA Inputs'!$G38),'CBA Inputs'!$E38/('CBA Inputs'!$G38-'CBA Inputs'!$F38+1),0)*IF(X$58=0,0,1)*CapitalCost_ACTIVE*X$55</f>
        <v>0</v>
      </c>
      <c r="Y81" s="17">
        <f>-IF(AND(Y$58&gt;='CBA Inputs'!$F38,Y$58&lt;='CBA Inputs'!$G38),'CBA Inputs'!$E38/('CBA Inputs'!$G38-'CBA Inputs'!$F38+1),0)*IF(Y$58=0,0,1)*CapitalCost_ACTIVE*Y$55</f>
        <v>0</v>
      </c>
      <c r="Z81" s="17">
        <f>-IF(AND(Z$58&gt;='CBA Inputs'!$F38,Z$58&lt;='CBA Inputs'!$G38),'CBA Inputs'!$E38/('CBA Inputs'!$G38-'CBA Inputs'!$F38+1),0)*IF(Z$58=0,0,1)*CapitalCost_ACTIVE*Z$55</f>
        <v>0</v>
      </c>
      <c r="AA81" s="17">
        <f>-IF(AND(AA$58&gt;='CBA Inputs'!$F38,AA$58&lt;='CBA Inputs'!$G38),'CBA Inputs'!$E38/('CBA Inputs'!$G38-'CBA Inputs'!$F38+1),0)*IF(AA$58=0,0,1)*CapitalCost_ACTIVE*AA$55</f>
        <v>0</v>
      </c>
      <c r="AB81" s="17">
        <f>-IF(AND(AB$58&gt;='CBA Inputs'!$F38,AB$58&lt;='CBA Inputs'!$G38),'CBA Inputs'!$E38/('CBA Inputs'!$G38-'CBA Inputs'!$F38+1),0)*IF(AB$58=0,0,1)*CapitalCost_ACTIVE*AB$55</f>
        <v>0</v>
      </c>
      <c r="AC81" s="17">
        <f>-IF(AND(AC$58&gt;='CBA Inputs'!$F38,AC$58&lt;='CBA Inputs'!$G38),'CBA Inputs'!$E38/('CBA Inputs'!$G38-'CBA Inputs'!$F38+1),0)*IF(AC$58=0,0,1)*CapitalCost_ACTIVE*AC$55</f>
        <v>0</v>
      </c>
      <c r="AD81" s="17">
        <f>-IF(AND(AD$58&gt;='CBA Inputs'!$F38,AD$58&lt;='CBA Inputs'!$G38),'CBA Inputs'!$E38/('CBA Inputs'!$G38-'CBA Inputs'!$F38+1),0)*IF(AD$58=0,0,1)*CapitalCost_ACTIVE*AD$55</f>
        <v>0</v>
      </c>
      <c r="AE81" s="17">
        <f>-IF(AND(AE$58&gt;='CBA Inputs'!$F38,AE$58&lt;='CBA Inputs'!$G38),'CBA Inputs'!$E38/('CBA Inputs'!$G38-'CBA Inputs'!$F38+1),0)*IF(AE$58=0,0,1)*CapitalCost_ACTIVE*AE$55</f>
        <v>0</v>
      </c>
      <c r="AF81" s="17">
        <f>-IF(AND(AF$58&gt;='CBA Inputs'!$F38,AF$58&lt;='CBA Inputs'!$G38),'CBA Inputs'!$E38/('CBA Inputs'!$G38-'CBA Inputs'!$F38+1),0)*IF(AF$58=0,0,1)*CapitalCost_ACTIVE*AF$55</f>
        <v>0</v>
      </c>
      <c r="AG81" s="17">
        <f>-IF(AND(AG$58&gt;='CBA Inputs'!$F38,AG$58&lt;='CBA Inputs'!$G38),'CBA Inputs'!$E38/('CBA Inputs'!$G38-'CBA Inputs'!$F38+1),0)*IF(AG$58=0,0,1)*CapitalCost_ACTIVE*AG$55</f>
        <v>0</v>
      </c>
      <c r="AH81" s="17">
        <f>-IF(AND(AH$58&gt;='CBA Inputs'!$F38,AH$58&lt;='CBA Inputs'!$G38),'CBA Inputs'!$E38/('CBA Inputs'!$G38-'CBA Inputs'!$F38+1),0)*IF(AH$58=0,0,1)*CapitalCost_ACTIVE*AH$55</f>
        <v>0</v>
      </c>
      <c r="AI81" s="17">
        <f>-IF(AND(AI$58&gt;='CBA Inputs'!$F38,AI$58&lt;='CBA Inputs'!$G38),'CBA Inputs'!$E38/('CBA Inputs'!$G38-'CBA Inputs'!$F38+1),0)*IF(AI$58=0,0,1)*CapitalCost_ACTIVE*AI$55</f>
        <v>0</v>
      </c>
      <c r="AJ81" s="17">
        <f>-IF(AND(AJ$58&gt;='CBA Inputs'!$F38,AJ$58&lt;='CBA Inputs'!$G38),'CBA Inputs'!$E38/('CBA Inputs'!$G38-'CBA Inputs'!$F38+1),0)*IF(AJ$58=0,0,1)*CapitalCost_ACTIVE*AJ$55</f>
        <v>0</v>
      </c>
      <c r="AK81" s="178">
        <f>IFERROR(PMT(DiscountRate_ACTIVE,'CBA Inputs'!I38,'CBA Inputs'!E38),0)</f>
        <v>-55240854.071472429</v>
      </c>
      <c r="AM81" s="24" t="str">
        <f>'CBA Inputs'!L38</f>
        <v/>
      </c>
      <c r="AN81" s="24">
        <f>'CBA Inputs'!M38</f>
        <v>0</v>
      </c>
      <c r="AO81" s="24">
        <f>'CBA Inputs'!N38</f>
        <v>0</v>
      </c>
      <c r="AP81" s="12" t="s">
        <v>35</v>
      </c>
      <c r="AQ81" s="18">
        <f t="shared" si="29"/>
        <v>0</v>
      </c>
      <c r="AR81" s="17">
        <f>-IF(AND(G$58&gt;='CBA Inputs'!$P38,G$58&lt;='CBA Inputs'!$Q38),'CBA Inputs'!$O38/('CBA Inputs'!$Q38-'CBA Inputs'!$P38+1),0)*IF(G$58=0,0,1)*CapitalCost_ACTIVE*G$55*IF(Scenario_Select='CBA Inputs'!$T38,1,0)</f>
        <v>0</v>
      </c>
      <c r="AS81" s="17">
        <f>-IF(AND(H$58&gt;='CBA Inputs'!$P38,H$58&lt;='CBA Inputs'!$Q38),'CBA Inputs'!$O38/('CBA Inputs'!$Q38-'CBA Inputs'!$P38+1),0)*IF(H$58=0,0,1)*CapitalCost_ACTIVE*H$55*IF(Scenario_Select='CBA Inputs'!$T38,1,0)</f>
        <v>0</v>
      </c>
      <c r="AT81" s="17">
        <f>-IF(AND(I$58&gt;='CBA Inputs'!$P38,I$58&lt;='CBA Inputs'!$Q38),'CBA Inputs'!$O38/('CBA Inputs'!$Q38-'CBA Inputs'!$P38+1),0)*IF(I$58=0,0,1)*CapitalCost_ACTIVE*I$55*IF(Scenario_Select='CBA Inputs'!$T38,1,0)</f>
        <v>0</v>
      </c>
      <c r="AU81" s="17">
        <f>-IF(AND(J$58&gt;='CBA Inputs'!$P38,J$58&lt;='CBA Inputs'!$Q38),'CBA Inputs'!$O38/('CBA Inputs'!$Q38-'CBA Inputs'!$P38+1),0)*IF(J$58=0,0,1)*CapitalCost_ACTIVE*J$55*IF(Scenario_Select='CBA Inputs'!$T38,1,0)</f>
        <v>0</v>
      </c>
      <c r="AV81" s="17">
        <f>-IF(AND(K$58&gt;='CBA Inputs'!$P38,K$58&lt;='CBA Inputs'!$Q38),'CBA Inputs'!$O38/('CBA Inputs'!$Q38-'CBA Inputs'!$P38+1),0)*IF(K$58=0,0,1)*CapitalCost_ACTIVE*K$55*IF(Scenario_Select='CBA Inputs'!$T38,1,0)</f>
        <v>0</v>
      </c>
      <c r="AW81" s="17">
        <f>-IF(AND(L$58&gt;='CBA Inputs'!$P38,L$58&lt;='CBA Inputs'!$Q38),'CBA Inputs'!$O38/('CBA Inputs'!$Q38-'CBA Inputs'!$P38+1),0)*IF(L$58=0,0,1)*CapitalCost_ACTIVE*L$55*IF(Scenario_Select='CBA Inputs'!$T38,1,0)</f>
        <v>0</v>
      </c>
      <c r="AX81" s="17">
        <f>-IF(AND(M$58&gt;='CBA Inputs'!$P38,M$58&lt;='CBA Inputs'!$Q38),'CBA Inputs'!$O38/('CBA Inputs'!$Q38-'CBA Inputs'!$P38+1),0)*IF(M$58=0,0,1)*CapitalCost_ACTIVE*M$55*IF(Scenario_Select='CBA Inputs'!$T38,1,0)</f>
        <v>0</v>
      </c>
      <c r="AY81" s="17">
        <f>-IF(AND(N$58&gt;='CBA Inputs'!$P38,N$58&lt;='CBA Inputs'!$Q38),'CBA Inputs'!$O38/('CBA Inputs'!$Q38-'CBA Inputs'!$P38+1),0)*IF(N$58=0,0,1)*CapitalCost_ACTIVE*N$55*IF(Scenario_Select='CBA Inputs'!$T38,1,0)</f>
        <v>0</v>
      </c>
      <c r="AZ81" s="17">
        <f>-IF(AND(O$58&gt;='CBA Inputs'!$P38,O$58&lt;='CBA Inputs'!$Q38),'CBA Inputs'!$O38/('CBA Inputs'!$Q38-'CBA Inputs'!$P38+1),0)*IF(O$58=0,0,1)*CapitalCost_ACTIVE*O$55*IF(Scenario_Select='CBA Inputs'!$T38,1,0)</f>
        <v>0</v>
      </c>
      <c r="BA81" s="17">
        <f>-IF(AND(P$58&gt;='CBA Inputs'!$P38,P$58&lt;='CBA Inputs'!$Q38),'CBA Inputs'!$O38/('CBA Inputs'!$Q38-'CBA Inputs'!$P38+1),0)*IF(P$58=0,0,1)*CapitalCost_ACTIVE*P$55*IF(Scenario_Select='CBA Inputs'!$T38,1,0)</f>
        <v>0</v>
      </c>
      <c r="BB81" s="17">
        <f>-IF(AND(Q$58&gt;='CBA Inputs'!$P38,Q$58&lt;='CBA Inputs'!$Q38),'CBA Inputs'!$O38/('CBA Inputs'!$Q38-'CBA Inputs'!$P38+1),0)*IF(Q$58=0,0,1)*CapitalCost_ACTIVE*Q$55*IF(Scenario_Select='CBA Inputs'!$T38,1,0)</f>
        <v>0</v>
      </c>
      <c r="BC81" s="17">
        <f>-IF(AND(R$58&gt;='CBA Inputs'!$P38,R$58&lt;='CBA Inputs'!$Q38),'CBA Inputs'!$O38/('CBA Inputs'!$Q38-'CBA Inputs'!$P38+1),0)*IF(R$58=0,0,1)*CapitalCost_ACTIVE*R$55*IF(Scenario_Select='CBA Inputs'!$T38,1,0)</f>
        <v>0</v>
      </c>
      <c r="BD81" s="17">
        <f>-IF(AND(S$58&gt;='CBA Inputs'!$P38,S$58&lt;='CBA Inputs'!$Q38),'CBA Inputs'!$O38/('CBA Inputs'!$Q38-'CBA Inputs'!$P38+1),0)*IF(S$58=0,0,1)*CapitalCost_ACTIVE*S$55*IF(Scenario_Select='CBA Inputs'!$T38,1,0)</f>
        <v>0</v>
      </c>
      <c r="BE81" s="17">
        <f>-IF(AND(T$58&gt;='CBA Inputs'!$P38,T$58&lt;='CBA Inputs'!$Q38),'CBA Inputs'!$O38/('CBA Inputs'!$Q38-'CBA Inputs'!$P38+1),0)*IF(T$58=0,0,1)*CapitalCost_ACTIVE*T$55*IF(Scenario_Select='CBA Inputs'!$T38,1,0)</f>
        <v>0</v>
      </c>
      <c r="BF81" s="17">
        <f>-IF(AND(U$58&gt;='CBA Inputs'!$P38,U$58&lt;='CBA Inputs'!$Q38),'CBA Inputs'!$O38/('CBA Inputs'!$Q38-'CBA Inputs'!$P38+1),0)*IF(U$58=0,0,1)*CapitalCost_ACTIVE*U$55*IF(Scenario_Select='CBA Inputs'!$T38,1,0)</f>
        <v>0</v>
      </c>
      <c r="BG81" s="17">
        <f>-IF(AND(V$58&gt;='CBA Inputs'!$P38,V$58&lt;='CBA Inputs'!$Q38),'CBA Inputs'!$O38/('CBA Inputs'!$Q38-'CBA Inputs'!$P38+1),0)*IF(V$58=0,0,1)*CapitalCost_ACTIVE*V$55*IF(Scenario_Select='CBA Inputs'!$T38,1,0)</f>
        <v>0</v>
      </c>
      <c r="BH81" s="17">
        <f>-IF(AND(W$58&gt;='CBA Inputs'!$P38,W$58&lt;='CBA Inputs'!$Q38),'CBA Inputs'!$O38/('CBA Inputs'!$Q38-'CBA Inputs'!$P38+1),0)*IF(W$58=0,0,1)*CapitalCost_ACTIVE*W$55*IF(Scenario_Select='CBA Inputs'!$T38,1,0)</f>
        <v>0</v>
      </c>
      <c r="BI81" s="17">
        <f>-IF(AND(X$58&gt;='CBA Inputs'!$P38,X$58&lt;='CBA Inputs'!$Q38),'CBA Inputs'!$O38/('CBA Inputs'!$Q38-'CBA Inputs'!$P38+1),0)*IF(X$58=0,0,1)*CapitalCost_ACTIVE*X$55*IF(Scenario_Select='CBA Inputs'!$T38,1,0)</f>
        <v>0</v>
      </c>
      <c r="BJ81" s="17">
        <f>-IF(AND(Y$58&gt;='CBA Inputs'!$P38,Y$58&lt;='CBA Inputs'!$Q38),'CBA Inputs'!$O38/('CBA Inputs'!$Q38-'CBA Inputs'!$P38+1),0)*IF(Y$58=0,0,1)*CapitalCost_ACTIVE*Y$55*IF(Scenario_Select='CBA Inputs'!$T38,1,0)</f>
        <v>0</v>
      </c>
      <c r="BK81" s="17">
        <f>-IF(AND(Z$58&gt;='CBA Inputs'!$P38,Z$58&lt;='CBA Inputs'!$Q38),'CBA Inputs'!$O38/('CBA Inputs'!$Q38-'CBA Inputs'!$P38+1),0)*IF(Z$58=0,0,1)*CapitalCost_ACTIVE*Z$55*IF(Scenario_Select='CBA Inputs'!$T38,1,0)</f>
        <v>0</v>
      </c>
      <c r="BL81" s="17">
        <f>-IF(AND(AA$58&gt;='CBA Inputs'!$P38,AA$58&lt;='CBA Inputs'!$Q38),'CBA Inputs'!$O38/('CBA Inputs'!$Q38-'CBA Inputs'!$P38+1),0)*IF(AA$58=0,0,1)*CapitalCost_ACTIVE*AA$55*IF(Scenario_Select='CBA Inputs'!$T38,1,0)</f>
        <v>0</v>
      </c>
      <c r="BM81" s="17">
        <f>-IF(AND(AB$58&gt;='CBA Inputs'!$P38,AB$58&lt;='CBA Inputs'!$Q38),'CBA Inputs'!$O38/('CBA Inputs'!$Q38-'CBA Inputs'!$P38+1),0)*IF(AB$58=0,0,1)*CapitalCost_ACTIVE*AB$55*IF(Scenario_Select='CBA Inputs'!$T38,1,0)</f>
        <v>0</v>
      </c>
      <c r="BN81" s="17">
        <f>-IF(AND(AC$58&gt;='CBA Inputs'!$P38,AC$58&lt;='CBA Inputs'!$Q38),'CBA Inputs'!$O38/('CBA Inputs'!$Q38-'CBA Inputs'!$P38+1),0)*IF(AC$58=0,0,1)*CapitalCost_ACTIVE*AC$55*IF(Scenario_Select='CBA Inputs'!$T38,1,0)</f>
        <v>0</v>
      </c>
      <c r="BO81" s="17">
        <f>-IF(AND(AD$58&gt;='CBA Inputs'!$P38,AD$58&lt;='CBA Inputs'!$Q38),'CBA Inputs'!$O38/('CBA Inputs'!$Q38-'CBA Inputs'!$P38+1),0)*IF(AD$58=0,0,1)*CapitalCost_ACTIVE*AD$55*IF(Scenario_Select='CBA Inputs'!$T38,1,0)</f>
        <v>0</v>
      </c>
      <c r="BP81" s="17">
        <f>-IF(AND(AE$58&gt;='CBA Inputs'!$P38,AE$58&lt;='CBA Inputs'!$Q38),'CBA Inputs'!$O38/('CBA Inputs'!$Q38-'CBA Inputs'!$P38+1),0)*IF(AE$58=0,0,1)*CapitalCost_ACTIVE*AE$55*IF(Scenario_Select='CBA Inputs'!$T38,1,0)</f>
        <v>0</v>
      </c>
      <c r="BQ81" s="17">
        <f>-IF(AND(AF$58&gt;='CBA Inputs'!$P38,AF$58&lt;='CBA Inputs'!$Q38),'CBA Inputs'!$O38/('CBA Inputs'!$Q38-'CBA Inputs'!$P38+1),0)*IF(AF$58=0,0,1)*CapitalCost_ACTIVE*AF$55*IF(Scenario_Select='CBA Inputs'!$T38,1,0)</f>
        <v>0</v>
      </c>
      <c r="BR81" s="17">
        <f>-IF(AND(AG$58&gt;='CBA Inputs'!$P38,AG$58&lt;='CBA Inputs'!$Q38),'CBA Inputs'!$O38/('CBA Inputs'!$Q38-'CBA Inputs'!$P38+1),0)*IF(AG$58=0,0,1)*CapitalCost_ACTIVE*AG$55*IF(Scenario_Select='CBA Inputs'!$T38,1,0)</f>
        <v>0</v>
      </c>
      <c r="BS81" s="17">
        <f>-IF(AND(AH$58&gt;='CBA Inputs'!$P38,AH$58&lt;='CBA Inputs'!$Q38),'CBA Inputs'!$O38/('CBA Inputs'!$Q38-'CBA Inputs'!$P38+1),0)*IF(AH$58=0,0,1)*CapitalCost_ACTIVE*AH$55*IF(Scenario_Select='CBA Inputs'!$T38,1,0)</f>
        <v>0</v>
      </c>
      <c r="BT81" s="17">
        <f>-IF(AND(AI$58&gt;='CBA Inputs'!$P38,AI$58&lt;='CBA Inputs'!$Q38),'CBA Inputs'!$O38/('CBA Inputs'!$Q38-'CBA Inputs'!$P38+1),0)*IF(AI$58=0,0,1)*CapitalCost_ACTIVE*AI$55*IF(Scenario_Select='CBA Inputs'!$T38,1,0)</f>
        <v>0</v>
      </c>
      <c r="BU81" s="17">
        <f>-IF(AND(AJ$58&gt;='CBA Inputs'!$P38,AJ$58&lt;='CBA Inputs'!$Q38),'CBA Inputs'!$O38/('CBA Inputs'!$Q38-'CBA Inputs'!$P38+1),0)*IF(AJ$58=0,0,1)*CapitalCost_ACTIVE*AJ$55*IF(Scenario_Select='CBA Inputs'!$T38,1,0)</f>
        <v>0</v>
      </c>
      <c r="BV81" s="178">
        <f>IFERROR(PMT(DiscountRate_ACTIVE,'CBA Inputs'!S38,'CBA Inputs'!O38),0)*IF(Scenario_Select='CBA Inputs'!$T38,1,0)</f>
        <v>0</v>
      </c>
    </row>
    <row r="82" spans="2:74" x14ac:dyDescent="0.35">
      <c r="B82" s="24">
        <f>+'CBA Inputs'!B39</f>
        <v>10</v>
      </c>
      <c r="C82" s="25" t="str">
        <f>+'CBA Inputs'!C39</f>
        <v>Option 4A</v>
      </c>
      <c r="D82" s="25" t="str">
        <f>'CBA Inputs'!D39</f>
        <v>Substation</v>
      </c>
      <c r="E82" s="12" t="s">
        <v>35</v>
      </c>
      <c r="F82" s="18">
        <f t="shared" si="28"/>
        <v>-114610812.84212209</v>
      </c>
      <c r="G82" s="17">
        <f>-IF(AND(G$58&gt;='CBA Inputs'!$F39,G$58&lt;='CBA Inputs'!$G39),'CBA Inputs'!$E39/('CBA Inputs'!$G39-'CBA Inputs'!$F39+1),0)*IF(G$58=0,0,1)*CapitalCost_ACTIVE*G$55</f>
        <v>0</v>
      </c>
      <c r="H82" s="17">
        <f>-IF(AND(H$58&gt;='CBA Inputs'!$F39,H$58&lt;='CBA Inputs'!$G39),'CBA Inputs'!$E39/('CBA Inputs'!$G39-'CBA Inputs'!$F39+1),0)*IF(H$58=0,0,1)*CapitalCost_ACTIVE*H$55</f>
        <v>-33000000</v>
      </c>
      <c r="I82" s="17">
        <f>-IF(AND(I$58&gt;='CBA Inputs'!$F39,I$58&lt;='CBA Inputs'!$G39),'CBA Inputs'!$E39/('CBA Inputs'!$G39-'CBA Inputs'!$F39+1),0)*IF(I$58=0,0,1)*CapitalCost_ACTIVE*I$55</f>
        <v>-33000000</v>
      </c>
      <c r="J82" s="17">
        <f>-IF(AND(J$58&gt;='CBA Inputs'!$F39,J$58&lt;='CBA Inputs'!$G39),'CBA Inputs'!$E39/('CBA Inputs'!$G39-'CBA Inputs'!$F39+1),0)*IF(J$58=0,0,1)*CapitalCost_ACTIVE*J$55</f>
        <v>-33000000</v>
      </c>
      <c r="K82" s="17">
        <f>-IF(AND(K$58&gt;='CBA Inputs'!$F39,K$58&lt;='CBA Inputs'!$G39),'CBA Inputs'!$E39/('CBA Inputs'!$G39-'CBA Inputs'!$F39+1),0)*IF(K$58=0,0,1)*CapitalCost_ACTIVE*K$55</f>
        <v>-33000000</v>
      </c>
      <c r="L82" s="17">
        <f>-IF(AND(L$58&gt;='CBA Inputs'!$F39,L$58&lt;='CBA Inputs'!$G39),'CBA Inputs'!$E39/('CBA Inputs'!$G39-'CBA Inputs'!$F39+1),0)*IF(L$58=0,0,1)*CapitalCost_ACTIVE*L$55</f>
        <v>0</v>
      </c>
      <c r="M82" s="17">
        <f>-IF(AND(M$58&gt;='CBA Inputs'!$F39,M$58&lt;='CBA Inputs'!$G39),'CBA Inputs'!$E39/('CBA Inputs'!$G39-'CBA Inputs'!$F39+1),0)*IF(M$58=0,0,1)*CapitalCost_ACTIVE*M$55</f>
        <v>0</v>
      </c>
      <c r="N82" s="17">
        <f>-IF(AND(N$58&gt;='CBA Inputs'!$F39,N$58&lt;='CBA Inputs'!$G39),'CBA Inputs'!$E39/('CBA Inputs'!$G39-'CBA Inputs'!$F39+1),0)*IF(N$58=0,0,1)*CapitalCost_ACTIVE*N$55</f>
        <v>0</v>
      </c>
      <c r="O82" s="17">
        <f>-IF(AND(O$58&gt;='CBA Inputs'!$F39,O$58&lt;='CBA Inputs'!$G39),'CBA Inputs'!$E39/('CBA Inputs'!$G39-'CBA Inputs'!$F39+1),0)*IF(O$58=0,0,1)*CapitalCost_ACTIVE*O$55</f>
        <v>0</v>
      </c>
      <c r="P82" s="17">
        <f>-IF(AND(P$58&gt;='CBA Inputs'!$F39,P$58&lt;='CBA Inputs'!$G39),'CBA Inputs'!$E39/('CBA Inputs'!$G39-'CBA Inputs'!$F39+1),0)*IF(P$58=0,0,1)*CapitalCost_ACTIVE*P$55</f>
        <v>0</v>
      </c>
      <c r="Q82" s="17">
        <f>-IF(AND(Q$58&gt;='CBA Inputs'!$F39,Q$58&lt;='CBA Inputs'!$G39),'CBA Inputs'!$E39/('CBA Inputs'!$G39-'CBA Inputs'!$F39+1),0)*IF(Q$58=0,0,1)*CapitalCost_ACTIVE*Q$55</f>
        <v>0</v>
      </c>
      <c r="R82" s="17">
        <f>-IF(AND(R$58&gt;='CBA Inputs'!$F39,R$58&lt;='CBA Inputs'!$G39),'CBA Inputs'!$E39/('CBA Inputs'!$G39-'CBA Inputs'!$F39+1),0)*IF(R$58=0,0,1)*CapitalCost_ACTIVE*R$55</f>
        <v>0</v>
      </c>
      <c r="S82" s="17">
        <f>-IF(AND(S$58&gt;='CBA Inputs'!$F39,S$58&lt;='CBA Inputs'!$G39),'CBA Inputs'!$E39/('CBA Inputs'!$G39-'CBA Inputs'!$F39+1),0)*IF(S$58=0,0,1)*CapitalCost_ACTIVE*S$55</f>
        <v>0</v>
      </c>
      <c r="T82" s="17">
        <f>-IF(AND(T$58&gt;='CBA Inputs'!$F39,T$58&lt;='CBA Inputs'!$G39),'CBA Inputs'!$E39/('CBA Inputs'!$G39-'CBA Inputs'!$F39+1),0)*IF(T$58=0,0,1)*CapitalCost_ACTIVE*T$55</f>
        <v>0</v>
      </c>
      <c r="U82" s="17">
        <f>-IF(AND(U$58&gt;='CBA Inputs'!$F39,U$58&lt;='CBA Inputs'!$G39),'CBA Inputs'!$E39/('CBA Inputs'!$G39-'CBA Inputs'!$F39+1),0)*IF(U$58=0,0,1)*CapitalCost_ACTIVE*U$55</f>
        <v>0</v>
      </c>
      <c r="V82" s="17">
        <f>-IF(AND(V$58&gt;='CBA Inputs'!$F39,V$58&lt;='CBA Inputs'!$G39),'CBA Inputs'!$E39/('CBA Inputs'!$G39-'CBA Inputs'!$F39+1),0)*IF(V$58=0,0,1)*CapitalCost_ACTIVE*V$55</f>
        <v>0</v>
      </c>
      <c r="W82" s="17">
        <f>-IF(AND(W$58&gt;='CBA Inputs'!$F39,W$58&lt;='CBA Inputs'!$G39),'CBA Inputs'!$E39/('CBA Inputs'!$G39-'CBA Inputs'!$F39+1),0)*IF(W$58=0,0,1)*CapitalCost_ACTIVE*W$55</f>
        <v>0</v>
      </c>
      <c r="X82" s="17">
        <f>-IF(AND(X$58&gt;='CBA Inputs'!$F39,X$58&lt;='CBA Inputs'!$G39),'CBA Inputs'!$E39/('CBA Inputs'!$G39-'CBA Inputs'!$F39+1),0)*IF(X$58=0,0,1)*CapitalCost_ACTIVE*X$55</f>
        <v>0</v>
      </c>
      <c r="Y82" s="17">
        <f>-IF(AND(Y$58&gt;='CBA Inputs'!$F39,Y$58&lt;='CBA Inputs'!$G39),'CBA Inputs'!$E39/('CBA Inputs'!$G39-'CBA Inputs'!$F39+1),0)*IF(Y$58=0,0,1)*CapitalCost_ACTIVE*Y$55</f>
        <v>0</v>
      </c>
      <c r="Z82" s="17">
        <f>-IF(AND(Z$58&gt;='CBA Inputs'!$F39,Z$58&lt;='CBA Inputs'!$G39),'CBA Inputs'!$E39/('CBA Inputs'!$G39-'CBA Inputs'!$F39+1),0)*IF(Z$58=0,0,1)*CapitalCost_ACTIVE*Z$55</f>
        <v>0</v>
      </c>
      <c r="AA82" s="17">
        <f>-IF(AND(AA$58&gt;='CBA Inputs'!$F39,AA$58&lt;='CBA Inputs'!$G39),'CBA Inputs'!$E39/('CBA Inputs'!$G39-'CBA Inputs'!$F39+1),0)*IF(AA$58=0,0,1)*CapitalCost_ACTIVE*AA$55</f>
        <v>0</v>
      </c>
      <c r="AB82" s="17">
        <f>-IF(AND(AB$58&gt;='CBA Inputs'!$F39,AB$58&lt;='CBA Inputs'!$G39),'CBA Inputs'!$E39/('CBA Inputs'!$G39-'CBA Inputs'!$F39+1),0)*IF(AB$58=0,0,1)*CapitalCost_ACTIVE*AB$55</f>
        <v>0</v>
      </c>
      <c r="AC82" s="17">
        <f>-IF(AND(AC$58&gt;='CBA Inputs'!$F39,AC$58&lt;='CBA Inputs'!$G39),'CBA Inputs'!$E39/('CBA Inputs'!$G39-'CBA Inputs'!$F39+1),0)*IF(AC$58=0,0,1)*CapitalCost_ACTIVE*AC$55</f>
        <v>0</v>
      </c>
      <c r="AD82" s="17">
        <f>-IF(AND(AD$58&gt;='CBA Inputs'!$F39,AD$58&lt;='CBA Inputs'!$G39),'CBA Inputs'!$E39/('CBA Inputs'!$G39-'CBA Inputs'!$F39+1),0)*IF(AD$58=0,0,1)*CapitalCost_ACTIVE*AD$55</f>
        <v>0</v>
      </c>
      <c r="AE82" s="17">
        <f>-IF(AND(AE$58&gt;='CBA Inputs'!$F39,AE$58&lt;='CBA Inputs'!$G39),'CBA Inputs'!$E39/('CBA Inputs'!$G39-'CBA Inputs'!$F39+1),0)*IF(AE$58=0,0,1)*CapitalCost_ACTIVE*AE$55</f>
        <v>0</v>
      </c>
      <c r="AF82" s="17">
        <f>-IF(AND(AF$58&gt;='CBA Inputs'!$F39,AF$58&lt;='CBA Inputs'!$G39),'CBA Inputs'!$E39/('CBA Inputs'!$G39-'CBA Inputs'!$F39+1),0)*IF(AF$58=0,0,1)*CapitalCost_ACTIVE*AF$55</f>
        <v>0</v>
      </c>
      <c r="AG82" s="17">
        <f>-IF(AND(AG$58&gt;='CBA Inputs'!$F39,AG$58&lt;='CBA Inputs'!$G39),'CBA Inputs'!$E39/('CBA Inputs'!$G39-'CBA Inputs'!$F39+1),0)*IF(AG$58=0,0,1)*CapitalCost_ACTIVE*AG$55</f>
        <v>0</v>
      </c>
      <c r="AH82" s="17">
        <f>-IF(AND(AH$58&gt;='CBA Inputs'!$F39,AH$58&lt;='CBA Inputs'!$G39),'CBA Inputs'!$E39/('CBA Inputs'!$G39-'CBA Inputs'!$F39+1),0)*IF(AH$58=0,0,1)*CapitalCost_ACTIVE*AH$55</f>
        <v>0</v>
      </c>
      <c r="AI82" s="17">
        <f>-IF(AND(AI$58&gt;='CBA Inputs'!$F39,AI$58&lt;='CBA Inputs'!$G39),'CBA Inputs'!$E39/('CBA Inputs'!$G39-'CBA Inputs'!$F39+1),0)*IF(AI$58=0,0,1)*CapitalCost_ACTIVE*AI$55</f>
        <v>0</v>
      </c>
      <c r="AJ82" s="17">
        <f>-IF(AND(AJ$58&gt;='CBA Inputs'!$F39,AJ$58&lt;='CBA Inputs'!$G39),'CBA Inputs'!$E39/('CBA Inputs'!$G39-'CBA Inputs'!$F39+1),0)*IF(AJ$58=0,0,1)*CapitalCost_ACTIVE*AJ$55</f>
        <v>0</v>
      </c>
      <c r="AK82" s="178">
        <f>IFERROR(PMT(DiscountRate_ACTIVE,'CBA Inputs'!I39,'CBA Inputs'!E39),0)</f>
        <v>-8662600.8596737664</v>
      </c>
      <c r="AM82" s="24" t="str">
        <f>'CBA Inputs'!L39</f>
        <v/>
      </c>
      <c r="AN82" s="24">
        <f>'CBA Inputs'!M39</f>
        <v>0</v>
      </c>
      <c r="AO82" s="24">
        <f>'CBA Inputs'!N39</f>
        <v>0</v>
      </c>
      <c r="AP82" s="12" t="s">
        <v>35</v>
      </c>
      <c r="AQ82" s="18">
        <f t="shared" si="29"/>
        <v>0</v>
      </c>
      <c r="AR82" s="17">
        <f>-IF(AND(G$58&gt;='CBA Inputs'!$P39,G$58&lt;='CBA Inputs'!$Q39),'CBA Inputs'!$O39/('CBA Inputs'!$Q39-'CBA Inputs'!$P39+1),0)*IF(G$58=0,0,1)*CapitalCost_ACTIVE*G$55*IF(Scenario_Select='CBA Inputs'!$T39,1,0)</f>
        <v>0</v>
      </c>
      <c r="AS82" s="17">
        <f>-IF(AND(H$58&gt;='CBA Inputs'!$P39,H$58&lt;='CBA Inputs'!$Q39),'CBA Inputs'!$O39/('CBA Inputs'!$Q39-'CBA Inputs'!$P39+1),0)*IF(H$58=0,0,1)*CapitalCost_ACTIVE*H$55*IF(Scenario_Select='CBA Inputs'!$T39,1,0)</f>
        <v>0</v>
      </c>
      <c r="AT82" s="17">
        <f>-IF(AND(I$58&gt;='CBA Inputs'!$P39,I$58&lt;='CBA Inputs'!$Q39),'CBA Inputs'!$O39/('CBA Inputs'!$Q39-'CBA Inputs'!$P39+1),0)*IF(I$58=0,0,1)*CapitalCost_ACTIVE*I$55*IF(Scenario_Select='CBA Inputs'!$T39,1,0)</f>
        <v>0</v>
      </c>
      <c r="AU82" s="17">
        <f>-IF(AND(J$58&gt;='CBA Inputs'!$P39,J$58&lt;='CBA Inputs'!$Q39),'CBA Inputs'!$O39/('CBA Inputs'!$Q39-'CBA Inputs'!$P39+1),0)*IF(J$58=0,0,1)*CapitalCost_ACTIVE*J$55*IF(Scenario_Select='CBA Inputs'!$T39,1,0)</f>
        <v>0</v>
      </c>
      <c r="AV82" s="17">
        <f>-IF(AND(K$58&gt;='CBA Inputs'!$P39,K$58&lt;='CBA Inputs'!$Q39),'CBA Inputs'!$O39/('CBA Inputs'!$Q39-'CBA Inputs'!$P39+1),0)*IF(K$58=0,0,1)*CapitalCost_ACTIVE*K$55*IF(Scenario_Select='CBA Inputs'!$T39,1,0)</f>
        <v>0</v>
      </c>
      <c r="AW82" s="17">
        <f>-IF(AND(L$58&gt;='CBA Inputs'!$P39,L$58&lt;='CBA Inputs'!$Q39),'CBA Inputs'!$O39/('CBA Inputs'!$Q39-'CBA Inputs'!$P39+1),0)*IF(L$58=0,0,1)*CapitalCost_ACTIVE*L$55*IF(Scenario_Select='CBA Inputs'!$T39,1,0)</f>
        <v>0</v>
      </c>
      <c r="AX82" s="17">
        <f>-IF(AND(M$58&gt;='CBA Inputs'!$P39,M$58&lt;='CBA Inputs'!$Q39),'CBA Inputs'!$O39/('CBA Inputs'!$Q39-'CBA Inputs'!$P39+1),0)*IF(M$58=0,0,1)*CapitalCost_ACTIVE*M$55*IF(Scenario_Select='CBA Inputs'!$T39,1,0)</f>
        <v>0</v>
      </c>
      <c r="AY82" s="17">
        <f>-IF(AND(N$58&gt;='CBA Inputs'!$P39,N$58&lt;='CBA Inputs'!$Q39),'CBA Inputs'!$O39/('CBA Inputs'!$Q39-'CBA Inputs'!$P39+1),0)*IF(N$58=0,0,1)*CapitalCost_ACTIVE*N$55*IF(Scenario_Select='CBA Inputs'!$T39,1,0)</f>
        <v>0</v>
      </c>
      <c r="AZ82" s="17">
        <f>-IF(AND(O$58&gt;='CBA Inputs'!$P39,O$58&lt;='CBA Inputs'!$Q39),'CBA Inputs'!$O39/('CBA Inputs'!$Q39-'CBA Inputs'!$P39+1),0)*IF(O$58=0,0,1)*CapitalCost_ACTIVE*O$55*IF(Scenario_Select='CBA Inputs'!$T39,1,0)</f>
        <v>0</v>
      </c>
      <c r="BA82" s="17">
        <f>-IF(AND(P$58&gt;='CBA Inputs'!$P39,P$58&lt;='CBA Inputs'!$Q39),'CBA Inputs'!$O39/('CBA Inputs'!$Q39-'CBA Inputs'!$P39+1),0)*IF(P$58=0,0,1)*CapitalCost_ACTIVE*P$55*IF(Scenario_Select='CBA Inputs'!$T39,1,0)</f>
        <v>0</v>
      </c>
      <c r="BB82" s="17">
        <f>-IF(AND(Q$58&gt;='CBA Inputs'!$P39,Q$58&lt;='CBA Inputs'!$Q39),'CBA Inputs'!$O39/('CBA Inputs'!$Q39-'CBA Inputs'!$P39+1),0)*IF(Q$58=0,0,1)*CapitalCost_ACTIVE*Q$55*IF(Scenario_Select='CBA Inputs'!$T39,1,0)</f>
        <v>0</v>
      </c>
      <c r="BC82" s="17">
        <f>-IF(AND(R$58&gt;='CBA Inputs'!$P39,R$58&lt;='CBA Inputs'!$Q39),'CBA Inputs'!$O39/('CBA Inputs'!$Q39-'CBA Inputs'!$P39+1),0)*IF(R$58=0,0,1)*CapitalCost_ACTIVE*R$55*IF(Scenario_Select='CBA Inputs'!$T39,1,0)</f>
        <v>0</v>
      </c>
      <c r="BD82" s="17">
        <f>-IF(AND(S$58&gt;='CBA Inputs'!$P39,S$58&lt;='CBA Inputs'!$Q39),'CBA Inputs'!$O39/('CBA Inputs'!$Q39-'CBA Inputs'!$P39+1),0)*IF(S$58=0,0,1)*CapitalCost_ACTIVE*S$55*IF(Scenario_Select='CBA Inputs'!$T39,1,0)</f>
        <v>0</v>
      </c>
      <c r="BE82" s="17">
        <f>-IF(AND(T$58&gt;='CBA Inputs'!$P39,T$58&lt;='CBA Inputs'!$Q39),'CBA Inputs'!$O39/('CBA Inputs'!$Q39-'CBA Inputs'!$P39+1),0)*IF(T$58=0,0,1)*CapitalCost_ACTIVE*T$55*IF(Scenario_Select='CBA Inputs'!$T39,1,0)</f>
        <v>0</v>
      </c>
      <c r="BF82" s="17">
        <f>-IF(AND(U$58&gt;='CBA Inputs'!$P39,U$58&lt;='CBA Inputs'!$Q39),'CBA Inputs'!$O39/('CBA Inputs'!$Q39-'CBA Inputs'!$P39+1),0)*IF(U$58=0,0,1)*CapitalCost_ACTIVE*U$55*IF(Scenario_Select='CBA Inputs'!$T39,1,0)</f>
        <v>0</v>
      </c>
      <c r="BG82" s="17">
        <f>-IF(AND(V$58&gt;='CBA Inputs'!$P39,V$58&lt;='CBA Inputs'!$Q39),'CBA Inputs'!$O39/('CBA Inputs'!$Q39-'CBA Inputs'!$P39+1),0)*IF(V$58=0,0,1)*CapitalCost_ACTIVE*V$55*IF(Scenario_Select='CBA Inputs'!$T39,1,0)</f>
        <v>0</v>
      </c>
      <c r="BH82" s="17">
        <f>-IF(AND(W$58&gt;='CBA Inputs'!$P39,W$58&lt;='CBA Inputs'!$Q39),'CBA Inputs'!$O39/('CBA Inputs'!$Q39-'CBA Inputs'!$P39+1),0)*IF(W$58=0,0,1)*CapitalCost_ACTIVE*W$55*IF(Scenario_Select='CBA Inputs'!$T39,1,0)</f>
        <v>0</v>
      </c>
      <c r="BI82" s="17">
        <f>-IF(AND(X$58&gt;='CBA Inputs'!$P39,X$58&lt;='CBA Inputs'!$Q39),'CBA Inputs'!$O39/('CBA Inputs'!$Q39-'CBA Inputs'!$P39+1),0)*IF(X$58=0,0,1)*CapitalCost_ACTIVE*X$55*IF(Scenario_Select='CBA Inputs'!$T39,1,0)</f>
        <v>0</v>
      </c>
      <c r="BJ82" s="17">
        <f>-IF(AND(Y$58&gt;='CBA Inputs'!$P39,Y$58&lt;='CBA Inputs'!$Q39),'CBA Inputs'!$O39/('CBA Inputs'!$Q39-'CBA Inputs'!$P39+1),0)*IF(Y$58=0,0,1)*CapitalCost_ACTIVE*Y$55*IF(Scenario_Select='CBA Inputs'!$T39,1,0)</f>
        <v>0</v>
      </c>
      <c r="BK82" s="17">
        <f>-IF(AND(Z$58&gt;='CBA Inputs'!$P39,Z$58&lt;='CBA Inputs'!$Q39),'CBA Inputs'!$O39/('CBA Inputs'!$Q39-'CBA Inputs'!$P39+1),0)*IF(Z$58=0,0,1)*CapitalCost_ACTIVE*Z$55*IF(Scenario_Select='CBA Inputs'!$T39,1,0)</f>
        <v>0</v>
      </c>
      <c r="BL82" s="17">
        <f>-IF(AND(AA$58&gt;='CBA Inputs'!$P39,AA$58&lt;='CBA Inputs'!$Q39),'CBA Inputs'!$O39/('CBA Inputs'!$Q39-'CBA Inputs'!$P39+1),0)*IF(AA$58=0,0,1)*CapitalCost_ACTIVE*AA$55*IF(Scenario_Select='CBA Inputs'!$T39,1,0)</f>
        <v>0</v>
      </c>
      <c r="BM82" s="17">
        <f>-IF(AND(AB$58&gt;='CBA Inputs'!$P39,AB$58&lt;='CBA Inputs'!$Q39),'CBA Inputs'!$O39/('CBA Inputs'!$Q39-'CBA Inputs'!$P39+1),0)*IF(AB$58=0,0,1)*CapitalCost_ACTIVE*AB$55*IF(Scenario_Select='CBA Inputs'!$T39,1,0)</f>
        <v>0</v>
      </c>
      <c r="BN82" s="17">
        <f>-IF(AND(AC$58&gt;='CBA Inputs'!$P39,AC$58&lt;='CBA Inputs'!$Q39),'CBA Inputs'!$O39/('CBA Inputs'!$Q39-'CBA Inputs'!$P39+1),0)*IF(AC$58=0,0,1)*CapitalCost_ACTIVE*AC$55*IF(Scenario_Select='CBA Inputs'!$T39,1,0)</f>
        <v>0</v>
      </c>
      <c r="BO82" s="17">
        <f>-IF(AND(AD$58&gt;='CBA Inputs'!$P39,AD$58&lt;='CBA Inputs'!$Q39),'CBA Inputs'!$O39/('CBA Inputs'!$Q39-'CBA Inputs'!$P39+1),0)*IF(AD$58=0,0,1)*CapitalCost_ACTIVE*AD$55*IF(Scenario_Select='CBA Inputs'!$T39,1,0)</f>
        <v>0</v>
      </c>
      <c r="BP82" s="17">
        <f>-IF(AND(AE$58&gt;='CBA Inputs'!$P39,AE$58&lt;='CBA Inputs'!$Q39),'CBA Inputs'!$O39/('CBA Inputs'!$Q39-'CBA Inputs'!$P39+1),0)*IF(AE$58=0,0,1)*CapitalCost_ACTIVE*AE$55*IF(Scenario_Select='CBA Inputs'!$T39,1,0)</f>
        <v>0</v>
      </c>
      <c r="BQ82" s="17">
        <f>-IF(AND(AF$58&gt;='CBA Inputs'!$P39,AF$58&lt;='CBA Inputs'!$Q39),'CBA Inputs'!$O39/('CBA Inputs'!$Q39-'CBA Inputs'!$P39+1),0)*IF(AF$58=0,0,1)*CapitalCost_ACTIVE*AF$55*IF(Scenario_Select='CBA Inputs'!$T39,1,0)</f>
        <v>0</v>
      </c>
      <c r="BR82" s="17">
        <f>-IF(AND(AG$58&gt;='CBA Inputs'!$P39,AG$58&lt;='CBA Inputs'!$Q39),'CBA Inputs'!$O39/('CBA Inputs'!$Q39-'CBA Inputs'!$P39+1),0)*IF(AG$58=0,0,1)*CapitalCost_ACTIVE*AG$55*IF(Scenario_Select='CBA Inputs'!$T39,1,0)</f>
        <v>0</v>
      </c>
      <c r="BS82" s="17">
        <f>-IF(AND(AH$58&gt;='CBA Inputs'!$P39,AH$58&lt;='CBA Inputs'!$Q39),'CBA Inputs'!$O39/('CBA Inputs'!$Q39-'CBA Inputs'!$P39+1),0)*IF(AH$58=0,0,1)*CapitalCost_ACTIVE*AH$55*IF(Scenario_Select='CBA Inputs'!$T39,1,0)</f>
        <v>0</v>
      </c>
      <c r="BT82" s="17">
        <f>-IF(AND(AI$58&gt;='CBA Inputs'!$P39,AI$58&lt;='CBA Inputs'!$Q39),'CBA Inputs'!$O39/('CBA Inputs'!$Q39-'CBA Inputs'!$P39+1),0)*IF(AI$58=0,0,1)*CapitalCost_ACTIVE*AI$55*IF(Scenario_Select='CBA Inputs'!$T39,1,0)</f>
        <v>0</v>
      </c>
      <c r="BU82" s="17">
        <f>-IF(AND(AJ$58&gt;='CBA Inputs'!$P39,AJ$58&lt;='CBA Inputs'!$Q39),'CBA Inputs'!$O39/('CBA Inputs'!$Q39-'CBA Inputs'!$P39+1),0)*IF(AJ$58=0,0,1)*CapitalCost_ACTIVE*AJ$55*IF(Scenario_Select='CBA Inputs'!$T39,1,0)</f>
        <v>0</v>
      </c>
      <c r="BV82" s="178">
        <f>IFERROR(PMT(DiscountRate_ACTIVE,'CBA Inputs'!S39,'CBA Inputs'!O39),0)*IF(Scenario_Select='CBA Inputs'!$T39,1,0)</f>
        <v>0</v>
      </c>
    </row>
    <row r="83" spans="2:74" x14ac:dyDescent="0.35">
      <c r="B83" s="24">
        <f>+'CBA Inputs'!B40</f>
        <v>10</v>
      </c>
      <c r="C83" s="25" t="str">
        <f>+'CBA Inputs'!C40</f>
        <v>Option 4A</v>
      </c>
      <c r="D83" s="25" t="str">
        <f>'CBA Inputs'!D40</f>
        <v>Lines</v>
      </c>
      <c r="E83" s="12" t="s">
        <v>35</v>
      </c>
      <c r="F83" s="18">
        <f t="shared" si="28"/>
        <v>-250886404.62478441</v>
      </c>
      <c r="G83" s="17">
        <f>-IF(AND(G$58&gt;='CBA Inputs'!$F40,G$58&lt;='CBA Inputs'!$G40),'CBA Inputs'!$E40/('CBA Inputs'!$G40-'CBA Inputs'!$F40+1),0)*IF(G$58=0,0,1)*CapitalCost_ACTIVE*G$55</f>
        <v>0</v>
      </c>
      <c r="H83" s="17">
        <f>-IF(AND(H$58&gt;='CBA Inputs'!$F40,H$58&lt;='CBA Inputs'!$G40),'CBA Inputs'!$E40/('CBA Inputs'!$G40-'CBA Inputs'!$F40+1),0)*IF(H$58=0,0,1)*CapitalCost_ACTIVE*H$55</f>
        <v>0</v>
      </c>
      <c r="I83" s="17">
        <f>-IF(AND(I$58&gt;='CBA Inputs'!$F40,I$58&lt;='CBA Inputs'!$G40),'CBA Inputs'!$E40/('CBA Inputs'!$G40-'CBA Inputs'!$F40+1),0)*IF(I$58=0,0,1)*CapitalCost_ACTIVE*I$55</f>
        <v>-76500000</v>
      </c>
      <c r="J83" s="17">
        <f>-IF(AND(J$58&gt;='CBA Inputs'!$F40,J$58&lt;='CBA Inputs'!$G40),'CBA Inputs'!$E40/('CBA Inputs'!$G40-'CBA Inputs'!$F40+1),0)*IF(J$58=0,0,1)*CapitalCost_ACTIVE*J$55</f>
        <v>-76500000</v>
      </c>
      <c r="K83" s="17">
        <f>-IF(AND(K$58&gt;='CBA Inputs'!$F40,K$58&lt;='CBA Inputs'!$G40),'CBA Inputs'!$E40/('CBA Inputs'!$G40-'CBA Inputs'!$F40+1),0)*IF(K$58=0,0,1)*CapitalCost_ACTIVE*K$55</f>
        <v>-76500000</v>
      </c>
      <c r="L83" s="17">
        <f>-IF(AND(L$58&gt;='CBA Inputs'!$F40,L$58&lt;='CBA Inputs'!$G40),'CBA Inputs'!$E40/('CBA Inputs'!$G40-'CBA Inputs'!$F40+1),0)*IF(L$58=0,0,1)*CapitalCost_ACTIVE*L$55</f>
        <v>-76500000</v>
      </c>
      <c r="M83" s="17">
        <f>-IF(AND(M$58&gt;='CBA Inputs'!$F40,M$58&lt;='CBA Inputs'!$G40),'CBA Inputs'!$E40/('CBA Inputs'!$G40-'CBA Inputs'!$F40+1),0)*IF(M$58=0,0,1)*CapitalCost_ACTIVE*M$55</f>
        <v>0</v>
      </c>
      <c r="N83" s="17">
        <f>-IF(AND(N$58&gt;='CBA Inputs'!$F40,N$58&lt;='CBA Inputs'!$G40),'CBA Inputs'!$E40/('CBA Inputs'!$G40-'CBA Inputs'!$F40+1),0)*IF(N$58=0,0,1)*CapitalCost_ACTIVE*N$55</f>
        <v>0</v>
      </c>
      <c r="O83" s="17">
        <f>-IF(AND(O$58&gt;='CBA Inputs'!$F40,O$58&lt;='CBA Inputs'!$G40),'CBA Inputs'!$E40/('CBA Inputs'!$G40-'CBA Inputs'!$F40+1),0)*IF(O$58=0,0,1)*CapitalCost_ACTIVE*O$55</f>
        <v>0</v>
      </c>
      <c r="P83" s="17">
        <f>-IF(AND(P$58&gt;='CBA Inputs'!$F40,P$58&lt;='CBA Inputs'!$G40),'CBA Inputs'!$E40/('CBA Inputs'!$G40-'CBA Inputs'!$F40+1),0)*IF(P$58=0,0,1)*CapitalCost_ACTIVE*P$55</f>
        <v>0</v>
      </c>
      <c r="Q83" s="17">
        <f>-IF(AND(Q$58&gt;='CBA Inputs'!$F40,Q$58&lt;='CBA Inputs'!$G40),'CBA Inputs'!$E40/('CBA Inputs'!$G40-'CBA Inputs'!$F40+1),0)*IF(Q$58=0,0,1)*CapitalCost_ACTIVE*Q$55</f>
        <v>0</v>
      </c>
      <c r="R83" s="17">
        <f>-IF(AND(R$58&gt;='CBA Inputs'!$F40,R$58&lt;='CBA Inputs'!$G40),'CBA Inputs'!$E40/('CBA Inputs'!$G40-'CBA Inputs'!$F40+1),0)*IF(R$58=0,0,1)*CapitalCost_ACTIVE*R$55</f>
        <v>0</v>
      </c>
      <c r="S83" s="17">
        <f>-IF(AND(S$58&gt;='CBA Inputs'!$F40,S$58&lt;='CBA Inputs'!$G40),'CBA Inputs'!$E40/('CBA Inputs'!$G40-'CBA Inputs'!$F40+1),0)*IF(S$58=0,0,1)*CapitalCost_ACTIVE*S$55</f>
        <v>0</v>
      </c>
      <c r="T83" s="17">
        <f>-IF(AND(T$58&gt;='CBA Inputs'!$F40,T$58&lt;='CBA Inputs'!$G40),'CBA Inputs'!$E40/('CBA Inputs'!$G40-'CBA Inputs'!$F40+1),0)*IF(T$58=0,0,1)*CapitalCost_ACTIVE*T$55</f>
        <v>0</v>
      </c>
      <c r="U83" s="17">
        <f>-IF(AND(U$58&gt;='CBA Inputs'!$F40,U$58&lt;='CBA Inputs'!$G40),'CBA Inputs'!$E40/('CBA Inputs'!$G40-'CBA Inputs'!$F40+1),0)*IF(U$58=0,0,1)*CapitalCost_ACTIVE*U$55</f>
        <v>0</v>
      </c>
      <c r="V83" s="17">
        <f>-IF(AND(V$58&gt;='CBA Inputs'!$F40,V$58&lt;='CBA Inputs'!$G40),'CBA Inputs'!$E40/('CBA Inputs'!$G40-'CBA Inputs'!$F40+1),0)*IF(V$58=0,0,1)*CapitalCost_ACTIVE*V$55</f>
        <v>0</v>
      </c>
      <c r="W83" s="17">
        <f>-IF(AND(W$58&gt;='CBA Inputs'!$F40,W$58&lt;='CBA Inputs'!$G40),'CBA Inputs'!$E40/('CBA Inputs'!$G40-'CBA Inputs'!$F40+1),0)*IF(W$58=0,0,1)*CapitalCost_ACTIVE*W$55</f>
        <v>0</v>
      </c>
      <c r="X83" s="17">
        <f>-IF(AND(X$58&gt;='CBA Inputs'!$F40,X$58&lt;='CBA Inputs'!$G40),'CBA Inputs'!$E40/('CBA Inputs'!$G40-'CBA Inputs'!$F40+1),0)*IF(X$58=0,0,1)*CapitalCost_ACTIVE*X$55</f>
        <v>0</v>
      </c>
      <c r="Y83" s="17">
        <f>-IF(AND(Y$58&gt;='CBA Inputs'!$F40,Y$58&lt;='CBA Inputs'!$G40),'CBA Inputs'!$E40/('CBA Inputs'!$G40-'CBA Inputs'!$F40+1),0)*IF(Y$58=0,0,1)*CapitalCost_ACTIVE*Y$55</f>
        <v>0</v>
      </c>
      <c r="Z83" s="17">
        <f>-IF(AND(Z$58&gt;='CBA Inputs'!$F40,Z$58&lt;='CBA Inputs'!$G40),'CBA Inputs'!$E40/('CBA Inputs'!$G40-'CBA Inputs'!$F40+1),0)*IF(Z$58=0,0,1)*CapitalCost_ACTIVE*Z$55</f>
        <v>0</v>
      </c>
      <c r="AA83" s="17">
        <f>-IF(AND(AA$58&gt;='CBA Inputs'!$F40,AA$58&lt;='CBA Inputs'!$G40),'CBA Inputs'!$E40/('CBA Inputs'!$G40-'CBA Inputs'!$F40+1),0)*IF(AA$58=0,0,1)*CapitalCost_ACTIVE*AA$55</f>
        <v>0</v>
      </c>
      <c r="AB83" s="17">
        <f>-IF(AND(AB$58&gt;='CBA Inputs'!$F40,AB$58&lt;='CBA Inputs'!$G40),'CBA Inputs'!$E40/('CBA Inputs'!$G40-'CBA Inputs'!$F40+1),0)*IF(AB$58=0,0,1)*CapitalCost_ACTIVE*AB$55</f>
        <v>0</v>
      </c>
      <c r="AC83" s="17">
        <f>-IF(AND(AC$58&gt;='CBA Inputs'!$F40,AC$58&lt;='CBA Inputs'!$G40),'CBA Inputs'!$E40/('CBA Inputs'!$G40-'CBA Inputs'!$F40+1),0)*IF(AC$58=0,0,1)*CapitalCost_ACTIVE*AC$55</f>
        <v>0</v>
      </c>
      <c r="AD83" s="17">
        <f>-IF(AND(AD$58&gt;='CBA Inputs'!$F40,AD$58&lt;='CBA Inputs'!$G40),'CBA Inputs'!$E40/('CBA Inputs'!$G40-'CBA Inputs'!$F40+1),0)*IF(AD$58=0,0,1)*CapitalCost_ACTIVE*AD$55</f>
        <v>0</v>
      </c>
      <c r="AE83" s="17">
        <f>-IF(AND(AE$58&gt;='CBA Inputs'!$F40,AE$58&lt;='CBA Inputs'!$G40),'CBA Inputs'!$E40/('CBA Inputs'!$G40-'CBA Inputs'!$F40+1),0)*IF(AE$58=0,0,1)*CapitalCost_ACTIVE*AE$55</f>
        <v>0</v>
      </c>
      <c r="AF83" s="17">
        <f>-IF(AND(AF$58&gt;='CBA Inputs'!$F40,AF$58&lt;='CBA Inputs'!$G40),'CBA Inputs'!$E40/('CBA Inputs'!$G40-'CBA Inputs'!$F40+1),0)*IF(AF$58=0,0,1)*CapitalCost_ACTIVE*AF$55</f>
        <v>0</v>
      </c>
      <c r="AG83" s="17">
        <f>-IF(AND(AG$58&gt;='CBA Inputs'!$F40,AG$58&lt;='CBA Inputs'!$G40),'CBA Inputs'!$E40/('CBA Inputs'!$G40-'CBA Inputs'!$F40+1),0)*IF(AG$58=0,0,1)*CapitalCost_ACTIVE*AG$55</f>
        <v>0</v>
      </c>
      <c r="AH83" s="17">
        <f>-IF(AND(AH$58&gt;='CBA Inputs'!$F40,AH$58&lt;='CBA Inputs'!$G40),'CBA Inputs'!$E40/('CBA Inputs'!$G40-'CBA Inputs'!$F40+1),0)*IF(AH$58=0,0,1)*CapitalCost_ACTIVE*AH$55</f>
        <v>0</v>
      </c>
      <c r="AI83" s="17">
        <f>-IF(AND(AI$58&gt;='CBA Inputs'!$F40,AI$58&lt;='CBA Inputs'!$G40),'CBA Inputs'!$E40/('CBA Inputs'!$G40-'CBA Inputs'!$F40+1),0)*IF(AI$58=0,0,1)*CapitalCost_ACTIVE*AI$55</f>
        <v>0</v>
      </c>
      <c r="AJ83" s="17">
        <f>-IF(AND(AJ$58&gt;='CBA Inputs'!$F40,AJ$58&lt;='CBA Inputs'!$G40),'CBA Inputs'!$E40/('CBA Inputs'!$G40-'CBA Inputs'!$F40+1),0)*IF(AJ$58=0,0,1)*CapitalCost_ACTIVE*AJ$55</f>
        <v>0</v>
      </c>
      <c r="AK83" s="178">
        <f>IFERROR(PMT(DiscountRate_ACTIVE,'CBA Inputs'!I40,'CBA Inputs'!E40),0)</f>
        <v>-19143489.632922497</v>
      </c>
      <c r="AM83" s="24" t="str">
        <f>'CBA Inputs'!L40</f>
        <v/>
      </c>
      <c r="AN83" s="24">
        <f>'CBA Inputs'!M40</f>
        <v>0</v>
      </c>
      <c r="AO83" s="24">
        <f>'CBA Inputs'!N40</f>
        <v>0</v>
      </c>
      <c r="AP83" s="12" t="s">
        <v>35</v>
      </c>
      <c r="AQ83" s="18">
        <f t="shared" si="29"/>
        <v>0</v>
      </c>
      <c r="AR83" s="17">
        <f>-IF(AND(G$58&gt;='CBA Inputs'!$P40,G$58&lt;='CBA Inputs'!$Q40),'CBA Inputs'!$O40/('CBA Inputs'!$Q40-'CBA Inputs'!$P40+1),0)*IF(G$58=0,0,1)*CapitalCost_ACTIVE*G$55*IF(Scenario_Select='CBA Inputs'!$T40,1,0)</f>
        <v>0</v>
      </c>
      <c r="AS83" s="17">
        <f>-IF(AND(H$58&gt;='CBA Inputs'!$P40,H$58&lt;='CBA Inputs'!$Q40),'CBA Inputs'!$O40/('CBA Inputs'!$Q40-'CBA Inputs'!$P40+1),0)*IF(H$58=0,0,1)*CapitalCost_ACTIVE*H$55*IF(Scenario_Select='CBA Inputs'!$T40,1,0)</f>
        <v>0</v>
      </c>
      <c r="AT83" s="17">
        <f>-IF(AND(I$58&gt;='CBA Inputs'!$P40,I$58&lt;='CBA Inputs'!$Q40),'CBA Inputs'!$O40/('CBA Inputs'!$Q40-'CBA Inputs'!$P40+1),0)*IF(I$58=0,0,1)*CapitalCost_ACTIVE*I$55*IF(Scenario_Select='CBA Inputs'!$T40,1,0)</f>
        <v>0</v>
      </c>
      <c r="AU83" s="17">
        <f>-IF(AND(J$58&gt;='CBA Inputs'!$P40,J$58&lt;='CBA Inputs'!$Q40),'CBA Inputs'!$O40/('CBA Inputs'!$Q40-'CBA Inputs'!$P40+1),0)*IF(J$58=0,0,1)*CapitalCost_ACTIVE*J$55*IF(Scenario_Select='CBA Inputs'!$T40,1,0)</f>
        <v>0</v>
      </c>
      <c r="AV83" s="17">
        <f>-IF(AND(K$58&gt;='CBA Inputs'!$P40,K$58&lt;='CBA Inputs'!$Q40),'CBA Inputs'!$O40/('CBA Inputs'!$Q40-'CBA Inputs'!$P40+1),0)*IF(K$58=0,0,1)*CapitalCost_ACTIVE*K$55*IF(Scenario_Select='CBA Inputs'!$T40,1,0)</f>
        <v>0</v>
      </c>
      <c r="AW83" s="17">
        <f>-IF(AND(L$58&gt;='CBA Inputs'!$P40,L$58&lt;='CBA Inputs'!$Q40),'CBA Inputs'!$O40/('CBA Inputs'!$Q40-'CBA Inputs'!$P40+1),0)*IF(L$58=0,0,1)*CapitalCost_ACTIVE*L$55*IF(Scenario_Select='CBA Inputs'!$T40,1,0)</f>
        <v>0</v>
      </c>
      <c r="AX83" s="17">
        <f>-IF(AND(M$58&gt;='CBA Inputs'!$P40,M$58&lt;='CBA Inputs'!$Q40),'CBA Inputs'!$O40/('CBA Inputs'!$Q40-'CBA Inputs'!$P40+1),0)*IF(M$58=0,0,1)*CapitalCost_ACTIVE*M$55*IF(Scenario_Select='CBA Inputs'!$T40,1,0)</f>
        <v>0</v>
      </c>
      <c r="AY83" s="17">
        <f>-IF(AND(N$58&gt;='CBA Inputs'!$P40,N$58&lt;='CBA Inputs'!$Q40),'CBA Inputs'!$O40/('CBA Inputs'!$Q40-'CBA Inputs'!$P40+1),0)*IF(N$58=0,0,1)*CapitalCost_ACTIVE*N$55*IF(Scenario_Select='CBA Inputs'!$T40,1,0)</f>
        <v>0</v>
      </c>
      <c r="AZ83" s="17">
        <f>-IF(AND(O$58&gt;='CBA Inputs'!$P40,O$58&lt;='CBA Inputs'!$Q40),'CBA Inputs'!$O40/('CBA Inputs'!$Q40-'CBA Inputs'!$P40+1),0)*IF(O$58=0,0,1)*CapitalCost_ACTIVE*O$55*IF(Scenario_Select='CBA Inputs'!$T40,1,0)</f>
        <v>0</v>
      </c>
      <c r="BA83" s="17">
        <f>-IF(AND(P$58&gt;='CBA Inputs'!$P40,P$58&lt;='CBA Inputs'!$Q40),'CBA Inputs'!$O40/('CBA Inputs'!$Q40-'CBA Inputs'!$P40+1),0)*IF(P$58=0,0,1)*CapitalCost_ACTIVE*P$55*IF(Scenario_Select='CBA Inputs'!$T40,1,0)</f>
        <v>0</v>
      </c>
      <c r="BB83" s="17">
        <f>-IF(AND(Q$58&gt;='CBA Inputs'!$P40,Q$58&lt;='CBA Inputs'!$Q40),'CBA Inputs'!$O40/('CBA Inputs'!$Q40-'CBA Inputs'!$P40+1),0)*IF(Q$58=0,0,1)*CapitalCost_ACTIVE*Q$55*IF(Scenario_Select='CBA Inputs'!$T40,1,0)</f>
        <v>0</v>
      </c>
      <c r="BC83" s="17">
        <f>-IF(AND(R$58&gt;='CBA Inputs'!$P40,R$58&lt;='CBA Inputs'!$Q40),'CBA Inputs'!$O40/('CBA Inputs'!$Q40-'CBA Inputs'!$P40+1),0)*IF(R$58=0,0,1)*CapitalCost_ACTIVE*R$55*IF(Scenario_Select='CBA Inputs'!$T40,1,0)</f>
        <v>0</v>
      </c>
      <c r="BD83" s="17">
        <f>-IF(AND(S$58&gt;='CBA Inputs'!$P40,S$58&lt;='CBA Inputs'!$Q40),'CBA Inputs'!$O40/('CBA Inputs'!$Q40-'CBA Inputs'!$P40+1),0)*IF(S$58=0,0,1)*CapitalCost_ACTIVE*S$55*IF(Scenario_Select='CBA Inputs'!$T40,1,0)</f>
        <v>0</v>
      </c>
      <c r="BE83" s="17">
        <f>-IF(AND(T$58&gt;='CBA Inputs'!$P40,T$58&lt;='CBA Inputs'!$Q40),'CBA Inputs'!$O40/('CBA Inputs'!$Q40-'CBA Inputs'!$P40+1),0)*IF(T$58=0,0,1)*CapitalCost_ACTIVE*T$55*IF(Scenario_Select='CBA Inputs'!$T40,1,0)</f>
        <v>0</v>
      </c>
      <c r="BF83" s="17">
        <f>-IF(AND(U$58&gt;='CBA Inputs'!$P40,U$58&lt;='CBA Inputs'!$Q40),'CBA Inputs'!$O40/('CBA Inputs'!$Q40-'CBA Inputs'!$P40+1),0)*IF(U$58=0,0,1)*CapitalCost_ACTIVE*U$55*IF(Scenario_Select='CBA Inputs'!$T40,1,0)</f>
        <v>0</v>
      </c>
      <c r="BG83" s="17">
        <f>-IF(AND(V$58&gt;='CBA Inputs'!$P40,V$58&lt;='CBA Inputs'!$Q40),'CBA Inputs'!$O40/('CBA Inputs'!$Q40-'CBA Inputs'!$P40+1),0)*IF(V$58=0,0,1)*CapitalCost_ACTIVE*V$55*IF(Scenario_Select='CBA Inputs'!$T40,1,0)</f>
        <v>0</v>
      </c>
      <c r="BH83" s="17">
        <f>-IF(AND(W$58&gt;='CBA Inputs'!$P40,W$58&lt;='CBA Inputs'!$Q40),'CBA Inputs'!$O40/('CBA Inputs'!$Q40-'CBA Inputs'!$P40+1),0)*IF(W$58=0,0,1)*CapitalCost_ACTIVE*W$55*IF(Scenario_Select='CBA Inputs'!$T40,1,0)</f>
        <v>0</v>
      </c>
      <c r="BI83" s="17">
        <f>-IF(AND(X$58&gt;='CBA Inputs'!$P40,X$58&lt;='CBA Inputs'!$Q40),'CBA Inputs'!$O40/('CBA Inputs'!$Q40-'CBA Inputs'!$P40+1),0)*IF(X$58=0,0,1)*CapitalCost_ACTIVE*X$55*IF(Scenario_Select='CBA Inputs'!$T40,1,0)</f>
        <v>0</v>
      </c>
      <c r="BJ83" s="17">
        <f>-IF(AND(Y$58&gt;='CBA Inputs'!$P40,Y$58&lt;='CBA Inputs'!$Q40),'CBA Inputs'!$O40/('CBA Inputs'!$Q40-'CBA Inputs'!$P40+1),0)*IF(Y$58=0,0,1)*CapitalCost_ACTIVE*Y$55*IF(Scenario_Select='CBA Inputs'!$T40,1,0)</f>
        <v>0</v>
      </c>
      <c r="BK83" s="17">
        <f>-IF(AND(Z$58&gt;='CBA Inputs'!$P40,Z$58&lt;='CBA Inputs'!$Q40),'CBA Inputs'!$O40/('CBA Inputs'!$Q40-'CBA Inputs'!$P40+1),0)*IF(Z$58=0,0,1)*CapitalCost_ACTIVE*Z$55*IF(Scenario_Select='CBA Inputs'!$T40,1,0)</f>
        <v>0</v>
      </c>
      <c r="BL83" s="17">
        <f>-IF(AND(AA$58&gt;='CBA Inputs'!$P40,AA$58&lt;='CBA Inputs'!$Q40),'CBA Inputs'!$O40/('CBA Inputs'!$Q40-'CBA Inputs'!$P40+1),0)*IF(AA$58=0,0,1)*CapitalCost_ACTIVE*AA$55*IF(Scenario_Select='CBA Inputs'!$T40,1,0)</f>
        <v>0</v>
      </c>
      <c r="BM83" s="17">
        <f>-IF(AND(AB$58&gt;='CBA Inputs'!$P40,AB$58&lt;='CBA Inputs'!$Q40),'CBA Inputs'!$O40/('CBA Inputs'!$Q40-'CBA Inputs'!$P40+1),0)*IF(AB$58=0,0,1)*CapitalCost_ACTIVE*AB$55*IF(Scenario_Select='CBA Inputs'!$T40,1,0)</f>
        <v>0</v>
      </c>
      <c r="BN83" s="17">
        <f>-IF(AND(AC$58&gt;='CBA Inputs'!$P40,AC$58&lt;='CBA Inputs'!$Q40),'CBA Inputs'!$O40/('CBA Inputs'!$Q40-'CBA Inputs'!$P40+1),0)*IF(AC$58=0,0,1)*CapitalCost_ACTIVE*AC$55*IF(Scenario_Select='CBA Inputs'!$T40,1,0)</f>
        <v>0</v>
      </c>
      <c r="BO83" s="17">
        <f>-IF(AND(AD$58&gt;='CBA Inputs'!$P40,AD$58&lt;='CBA Inputs'!$Q40),'CBA Inputs'!$O40/('CBA Inputs'!$Q40-'CBA Inputs'!$P40+1),0)*IF(AD$58=0,0,1)*CapitalCost_ACTIVE*AD$55*IF(Scenario_Select='CBA Inputs'!$T40,1,0)</f>
        <v>0</v>
      </c>
      <c r="BP83" s="17">
        <f>-IF(AND(AE$58&gt;='CBA Inputs'!$P40,AE$58&lt;='CBA Inputs'!$Q40),'CBA Inputs'!$O40/('CBA Inputs'!$Q40-'CBA Inputs'!$P40+1),0)*IF(AE$58=0,0,1)*CapitalCost_ACTIVE*AE$55*IF(Scenario_Select='CBA Inputs'!$T40,1,0)</f>
        <v>0</v>
      </c>
      <c r="BQ83" s="17">
        <f>-IF(AND(AF$58&gt;='CBA Inputs'!$P40,AF$58&lt;='CBA Inputs'!$Q40),'CBA Inputs'!$O40/('CBA Inputs'!$Q40-'CBA Inputs'!$P40+1),0)*IF(AF$58=0,0,1)*CapitalCost_ACTIVE*AF$55*IF(Scenario_Select='CBA Inputs'!$T40,1,0)</f>
        <v>0</v>
      </c>
      <c r="BR83" s="17">
        <f>-IF(AND(AG$58&gt;='CBA Inputs'!$P40,AG$58&lt;='CBA Inputs'!$Q40),'CBA Inputs'!$O40/('CBA Inputs'!$Q40-'CBA Inputs'!$P40+1),0)*IF(AG$58=0,0,1)*CapitalCost_ACTIVE*AG$55*IF(Scenario_Select='CBA Inputs'!$T40,1,0)</f>
        <v>0</v>
      </c>
      <c r="BS83" s="17">
        <f>-IF(AND(AH$58&gt;='CBA Inputs'!$P40,AH$58&lt;='CBA Inputs'!$Q40),'CBA Inputs'!$O40/('CBA Inputs'!$Q40-'CBA Inputs'!$P40+1),0)*IF(AH$58=0,0,1)*CapitalCost_ACTIVE*AH$55*IF(Scenario_Select='CBA Inputs'!$T40,1,0)</f>
        <v>0</v>
      </c>
      <c r="BT83" s="17">
        <f>-IF(AND(AI$58&gt;='CBA Inputs'!$P40,AI$58&lt;='CBA Inputs'!$Q40),'CBA Inputs'!$O40/('CBA Inputs'!$Q40-'CBA Inputs'!$P40+1),0)*IF(AI$58=0,0,1)*CapitalCost_ACTIVE*AI$55*IF(Scenario_Select='CBA Inputs'!$T40,1,0)</f>
        <v>0</v>
      </c>
      <c r="BU83" s="17">
        <f>-IF(AND(AJ$58&gt;='CBA Inputs'!$P40,AJ$58&lt;='CBA Inputs'!$Q40),'CBA Inputs'!$O40/('CBA Inputs'!$Q40-'CBA Inputs'!$P40+1),0)*IF(AJ$58=0,0,1)*CapitalCost_ACTIVE*AJ$55*IF(Scenario_Select='CBA Inputs'!$T40,1,0)</f>
        <v>0</v>
      </c>
      <c r="BV83" s="178">
        <f>IFERROR(PMT(DiscountRate_ACTIVE,'CBA Inputs'!S40,'CBA Inputs'!O40),0)*IF(Scenario_Select='CBA Inputs'!$T40,1,0)</f>
        <v>0</v>
      </c>
    </row>
    <row r="84" spans="2:74" x14ac:dyDescent="0.35">
      <c r="B84" s="24">
        <f>+'CBA Inputs'!B41</f>
        <v>10</v>
      </c>
      <c r="C84" s="25" t="str">
        <f>+'CBA Inputs'!C41</f>
        <v>Option 4A</v>
      </c>
      <c r="D84" s="25" t="str">
        <f>'CBA Inputs'!D41</f>
        <v>Substation</v>
      </c>
      <c r="E84" s="12" t="s">
        <v>35</v>
      </c>
      <c r="F84" s="18">
        <f t="shared" si="28"/>
        <v>-8198902.1119210608</v>
      </c>
      <c r="G84" s="17">
        <f>-IF(AND(G$58&gt;='CBA Inputs'!$F41,G$58&lt;='CBA Inputs'!$G41),'CBA Inputs'!$E41/('CBA Inputs'!$G41-'CBA Inputs'!$F41+1),0)*IF(G$58=0,0,1)*CapitalCost_ACTIVE*G$55</f>
        <v>0</v>
      </c>
      <c r="H84" s="17">
        <f>-IF(AND(H$58&gt;='CBA Inputs'!$F41,H$58&lt;='CBA Inputs'!$G41),'CBA Inputs'!$E41/('CBA Inputs'!$G41-'CBA Inputs'!$F41+1),0)*IF(H$58=0,0,1)*CapitalCost_ACTIVE*H$55</f>
        <v>0</v>
      </c>
      <c r="I84" s="17">
        <f>-IF(AND(I$58&gt;='CBA Inputs'!$F41,I$58&lt;='CBA Inputs'!$G41),'CBA Inputs'!$E41/('CBA Inputs'!$G41-'CBA Inputs'!$F41+1),0)*IF(I$58=0,0,1)*CapitalCost_ACTIVE*I$55</f>
        <v>-2500000</v>
      </c>
      <c r="J84" s="17">
        <f>-IF(AND(J$58&gt;='CBA Inputs'!$F41,J$58&lt;='CBA Inputs'!$G41),'CBA Inputs'!$E41/('CBA Inputs'!$G41-'CBA Inputs'!$F41+1),0)*IF(J$58=0,0,1)*CapitalCost_ACTIVE*J$55</f>
        <v>-2500000</v>
      </c>
      <c r="K84" s="17">
        <f>-IF(AND(K$58&gt;='CBA Inputs'!$F41,K$58&lt;='CBA Inputs'!$G41),'CBA Inputs'!$E41/('CBA Inputs'!$G41-'CBA Inputs'!$F41+1),0)*IF(K$58=0,0,1)*CapitalCost_ACTIVE*K$55</f>
        <v>-2500000</v>
      </c>
      <c r="L84" s="17">
        <f>-IF(AND(L$58&gt;='CBA Inputs'!$F41,L$58&lt;='CBA Inputs'!$G41),'CBA Inputs'!$E41/('CBA Inputs'!$G41-'CBA Inputs'!$F41+1),0)*IF(L$58=0,0,1)*CapitalCost_ACTIVE*L$55</f>
        <v>-2500000</v>
      </c>
      <c r="M84" s="17">
        <f>-IF(AND(M$58&gt;='CBA Inputs'!$F41,M$58&lt;='CBA Inputs'!$G41),'CBA Inputs'!$E41/('CBA Inputs'!$G41-'CBA Inputs'!$F41+1),0)*IF(M$58=0,0,1)*CapitalCost_ACTIVE*M$55</f>
        <v>0</v>
      </c>
      <c r="N84" s="17">
        <f>-IF(AND(N$58&gt;='CBA Inputs'!$F41,N$58&lt;='CBA Inputs'!$G41),'CBA Inputs'!$E41/('CBA Inputs'!$G41-'CBA Inputs'!$F41+1),0)*IF(N$58=0,0,1)*CapitalCost_ACTIVE*N$55</f>
        <v>0</v>
      </c>
      <c r="O84" s="17">
        <f>-IF(AND(O$58&gt;='CBA Inputs'!$F41,O$58&lt;='CBA Inputs'!$G41),'CBA Inputs'!$E41/('CBA Inputs'!$G41-'CBA Inputs'!$F41+1),0)*IF(O$58=0,0,1)*CapitalCost_ACTIVE*O$55</f>
        <v>0</v>
      </c>
      <c r="P84" s="17">
        <f>-IF(AND(P$58&gt;='CBA Inputs'!$F41,P$58&lt;='CBA Inputs'!$G41),'CBA Inputs'!$E41/('CBA Inputs'!$G41-'CBA Inputs'!$F41+1),0)*IF(P$58=0,0,1)*CapitalCost_ACTIVE*P$55</f>
        <v>0</v>
      </c>
      <c r="Q84" s="17">
        <f>-IF(AND(Q$58&gt;='CBA Inputs'!$F41,Q$58&lt;='CBA Inputs'!$G41),'CBA Inputs'!$E41/('CBA Inputs'!$G41-'CBA Inputs'!$F41+1),0)*IF(Q$58=0,0,1)*CapitalCost_ACTIVE*Q$55</f>
        <v>0</v>
      </c>
      <c r="R84" s="17">
        <f>-IF(AND(R$58&gt;='CBA Inputs'!$F41,R$58&lt;='CBA Inputs'!$G41),'CBA Inputs'!$E41/('CBA Inputs'!$G41-'CBA Inputs'!$F41+1),0)*IF(R$58=0,0,1)*CapitalCost_ACTIVE*R$55</f>
        <v>0</v>
      </c>
      <c r="S84" s="17">
        <f>-IF(AND(S$58&gt;='CBA Inputs'!$F41,S$58&lt;='CBA Inputs'!$G41),'CBA Inputs'!$E41/('CBA Inputs'!$G41-'CBA Inputs'!$F41+1),0)*IF(S$58=0,0,1)*CapitalCost_ACTIVE*S$55</f>
        <v>0</v>
      </c>
      <c r="T84" s="17">
        <f>-IF(AND(T$58&gt;='CBA Inputs'!$F41,T$58&lt;='CBA Inputs'!$G41),'CBA Inputs'!$E41/('CBA Inputs'!$G41-'CBA Inputs'!$F41+1),0)*IF(T$58=0,0,1)*CapitalCost_ACTIVE*T$55</f>
        <v>0</v>
      </c>
      <c r="U84" s="17">
        <f>-IF(AND(U$58&gt;='CBA Inputs'!$F41,U$58&lt;='CBA Inputs'!$G41),'CBA Inputs'!$E41/('CBA Inputs'!$G41-'CBA Inputs'!$F41+1),0)*IF(U$58=0,0,1)*CapitalCost_ACTIVE*U$55</f>
        <v>0</v>
      </c>
      <c r="V84" s="17">
        <f>-IF(AND(V$58&gt;='CBA Inputs'!$F41,V$58&lt;='CBA Inputs'!$G41),'CBA Inputs'!$E41/('CBA Inputs'!$G41-'CBA Inputs'!$F41+1),0)*IF(V$58=0,0,1)*CapitalCost_ACTIVE*V$55</f>
        <v>0</v>
      </c>
      <c r="W84" s="17">
        <f>-IF(AND(W$58&gt;='CBA Inputs'!$F41,W$58&lt;='CBA Inputs'!$G41),'CBA Inputs'!$E41/('CBA Inputs'!$G41-'CBA Inputs'!$F41+1),0)*IF(W$58=0,0,1)*CapitalCost_ACTIVE*W$55</f>
        <v>0</v>
      </c>
      <c r="X84" s="17">
        <f>-IF(AND(X$58&gt;='CBA Inputs'!$F41,X$58&lt;='CBA Inputs'!$G41),'CBA Inputs'!$E41/('CBA Inputs'!$G41-'CBA Inputs'!$F41+1),0)*IF(X$58=0,0,1)*CapitalCost_ACTIVE*X$55</f>
        <v>0</v>
      </c>
      <c r="Y84" s="17">
        <f>-IF(AND(Y$58&gt;='CBA Inputs'!$F41,Y$58&lt;='CBA Inputs'!$G41),'CBA Inputs'!$E41/('CBA Inputs'!$G41-'CBA Inputs'!$F41+1),0)*IF(Y$58=0,0,1)*CapitalCost_ACTIVE*Y$55</f>
        <v>0</v>
      </c>
      <c r="Z84" s="17">
        <f>-IF(AND(Z$58&gt;='CBA Inputs'!$F41,Z$58&lt;='CBA Inputs'!$G41),'CBA Inputs'!$E41/('CBA Inputs'!$G41-'CBA Inputs'!$F41+1),0)*IF(Z$58=0,0,1)*CapitalCost_ACTIVE*Z$55</f>
        <v>0</v>
      </c>
      <c r="AA84" s="17">
        <f>-IF(AND(AA$58&gt;='CBA Inputs'!$F41,AA$58&lt;='CBA Inputs'!$G41),'CBA Inputs'!$E41/('CBA Inputs'!$G41-'CBA Inputs'!$F41+1),0)*IF(AA$58=0,0,1)*CapitalCost_ACTIVE*AA$55</f>
        <v>0</v>
      </c>
      <c r="AB84" s="17">
        <f>-IF(AND(AB$58&gt;='CBA Inputs'!$F41,AB$58&lt;='CBA Inputs'!$G41),'CBA Inputs'!$E41/('CBA Inputs'!$G41-'CBA Inputs'!$F41+1),0)*IF(AB$58=0,0,1)*CapitalCost_ACTIVE*AB$55</f>
        <v>0</v>
      </c>
      <c r="AC84" s="17">
        <f>-IF(AND(AC$58&gt;='CBA Inputs'!$F41,AC$58&lt;='CBA Inputs'!$G41),'CBA Inputs'!$E41/('CBA Inputs'!$G41-'CBA Inputs'!$F41+1),0)*IF(AC$58=0,0,1)*CapitalCost_ACTIVE*AC$55</f>
        <v>0</v>
      </c>
      <c r="AD84" s="17">
        <f>-IF(AND(AD$58&gt;='CBA Inputs'!$F41,AD$58&lt;='CBA Inputs'!$G41),'CBA Inputs'!$E41/('CBA Inputs'!$G41-'CBA Inputs'!$F41+1),0)*IF(AD$58=0,0,1)*CapitalCost_ACTIVE*AD$55</f>
        <v>0</v>
      </c>
      <c r="AE84" s="17">
        <f>-IF(AND(AE$58&gt;='CBA Inputs'!$F41,AE$58&lt;='CBA Inputs'!$G41),'CBA Inputs'!$E41/('CBA Inputs'!$G41-'CBA Inputs'!$F41+1),0)*IF(AE$58=0,0,1)*CapitalCost_ACTIVE*AE$55</f>
        <v>0</v>
      </c>
      <c r="AF84" s="17">
        <f>-IF(AND(AF$58&gt;='CBA Inputs'!$F41,AF$58&lt;='CBA Inputs'!$G41),'CBA Inputs'!$E41/('CBA Inputs'!$G41-'CBA Inputs'!$F41+1),0)*IF(AF$58=0,0,1)*CapitalCost_ACTIVE*AF$55</f>
        <v>0</v>
      </c>
      <c r="AG84" s="17">
        <f>-IF(AND(AG$58&gt;='CBA Inputs'!$F41,AG$58&lt;='CBA Inputs'!$G41),'CBA Inputs'!$E41/('CBA Inputs'!$G41-'CBA Inputs'!$F41+1),0)*IF(AG$58=0,0,1)*CapitalCost_ACTIVE*AG$55</f>
        <v>0</v>
      </c>
      <c r="AH84" s="17">
        <f>-IF(AND(AH$58&gt;='CBA Inputs'!$F41,AH$58&lt;='CBA Inputs'!$G41),'CBA Inputs'!$E41/('CBA Inputs'!$G41-'CBA Inputs'!$F41+1),0)*IF(AH$58=0,0,1)*CapitalCost_ACTIVE*AH$55</f>
        <v>0</v>
      </c>
      <c r="AI84" s="17">
        <f>-IF(AND(AI$58&gt;='CBA Inputs'!$F41,AI$58&lt;='CBA Inputs'!$G41),'CBA Inputs'!$E41/('CBA Inputs'!$G41-'CBA Inputs'!$F41+1),0)*IF(AI$58=0,0,1)*CapitalCost_ACTIVE*AI$55</f>
        <v>0</v>
      </c>
      <c r="AJ84" s="17">
        <f>-IF(AND(AJ$58&gt;='CBA Inputs'!$F41,AJ$58&lt;='CBA Inputs'!$G41),'CBA Inputs'!$E41/('CBA Inputs'!$G41-'CBA Inputs'!$F41+1),0)*IF(AJ$58=0,0,1)*CapitalCost_ACTIVE*AJ$55</f>
        <v>0</v>
      </c>
      <c r="AK84" s="178">
        <f>IFERROR(PMT(DiscountRate_ACTIVE,'CBA Inputs'!I41,'CBA Inputs'!E41),0)</f>
        <v>-656257.64088437625</v>
      </c>
      <c r="AM84" s="24" t="str">
        <f>'CBA Inputs'!L41</f>
        <v/>
      </c>
      <c r="AN84" s="24">
        <f>'CBA Inputs'!M41</f>
        <v>0</v>
      </c>
      <c r="AO84" s="24">
        <f>'CBA Inputs'!N41</f>
        <v>0</v>
      </c>
      <c r="AP84" s="12" t="s">
        <v>35</v>
      </c>
      <c r="AQ84" s="18">
        <f t="shared" si="29"/>
        <v>0</v>
      </c>
      <c r="AR84" s="17">
        <f>-IF(AND(G$58&gt;='CBA Inputs'!$P41,G$58&lt;='CBA Inputs'!$Q41),'CBA Inputs'!$O41/('CBA Inputs'!$Q41-'CBA Inputs'!$P41+1),0)*IF(G$58=0,0,1)*CapitalCost_ACTIVE*G$55*IF(Scenario_Select='CBA Inputs'!$T41,1,0)</f>
        <v>0</v>
      </c>
      <c r="AS84" s="17">
        <f>-IF(AND(H$58&gt;='CBA Inputs'!$P41,H$58&lt;='CBA Inputs'!$Q41),'CBA Inputs'!$O41/('CBA Inputs'!$Q41-'CBA Inputs'!$P41+1),0)*IF(H$58=0,0,1)*CapitalCost_ACTIVE*H$55*IF(Scenario_Select='CBA Inputs'!$T41,1,0)</f>
        <v>0</v>
      </c>
      <c r="AT84" s="17">
        <f>-IF(AND(I$58&gt;='CBA Inputs'!$P41,I$58&lt;='CBA Inputs'!$Q41),'CBA Inputs'!$O41/('CBA Inputs'!$Q41-'CBA Inputs'!$P41+1),0)*IF(I$58=0,0,1)*CapitalCost_ACTIVE*I$55*IF(Scenario_Select='CBA Inputs'!$T41,1,0)</f>
        <v>0</v>
      </c>
      <c r="AU84" s="17">
        <f>-IF(AND(J$58&gt;='CBA Inputs'!$P41,J$58&lt;='CBA Inputs'!$Q41),'CBA Inputs'!$O41/('CBA Inputs'!$Q41-'CBA Inputs'!$P41+1),0)*IF(J$58=0,0,1)*CapitalCost_ACTIVE*J$55*IF(Scenario_Select='CBA Inputs'!$T41,1,0)</f>
        <v>0</v>
      </c>
      <c r="AV84" s="17">
        <f>-IF(AND(K$58&gt;='CBA Inputs'!$P41,K$58&lt;='CBA Inputs'!$Q41),'CBA Inputs'!$O41/('CBA Inputs'!$Q41-'CBA Inputs'!$P41+1),0)*IF(K$58=0,0,1)*CapitalCost_ACTIVE*K$55*IF(Scenario_Select='CBA Inputs'!$T41,1,0)</f>
        <v>0</v>
      </c>
      <c r="AW84" s="17">
        <f>-IF(AND(L$58&gt;='CBA Inputs'!$P41,L$58&lt;='CBA Inputs'!$Q41),'CBA Inputs'!$O41/('CBA Inputs'!$Q41-'CBA Inputs'!$P41+1),0)*IF(L$58=0,0,1)*CapitalCost_ACTIVE*L$55*IF(Scenario_Select='CBA Inputs'!$T41,1,0)</f>
        <v>0</v>
      </c>
      <c r="AX84" s="17">
        <f>-IF(AND(M$58&gt;='CBA Inputs'!$P41,M$58&lt;='CBA Inputs'!$Q41),'CBA Inputs'!$O41/('CBA Inputs'!$Q41-'CBA Inputs'!$P41+1),0)*IF(M$58=0,0,1)*CapitalCost_ACTIVE*M$55*IF(Scenario_Select='CBA Inputs'!$T41,1,0)</f>
        <v>0</v>
      </c>
      <c r="AY84" s="17">
        <f>-IF(AND(N$58&gt;='CBA Inputs'!$P41,N$58&lt;='CBA Inputs'!$Q41),'CBA Inputs'!$O41/('CBA Inputs'!$Q41-'CBA Inputs'!$P41+1),0)*IF(N$58=0,0,1)*CapitalCost_ACTIVE*N$55*IF(Scenario_Select='CBA Inputs'!$T41,1,0)</f>
        <v>0</v>
      </c>
      <c r="AZ84" s="17">
        <f>-IF(AND(O$58&gt;='CBA Inputs'!$P41,O$58&lt;='CBA Inputs'!$Q41),'CBA Inputs'!$O41/('CBA Inputs'!$Q41-'CBA Inputs'!$P41+1),0)*IF(O$58=0,0,1)*CapitalCost_ACTIVE*O$55*IF(Scenario_Select='CBA Inputs'!$T41,1,0)</f>
        <v>0</v>
      </c>
      <c r="BA84" s="17">
        <f>-IF(AND(P$58&gt;='CBA Inputs'!$P41,P$58&lt;='CBA Inputs'!$Q41),'CBA Inputs'!$O41/('CBA Inputs'!$Q41-'CBA Inputs'!$P41+1),0)*IF(P$58=0,0,1)*CapitalCost_ACTIVE*P$55*IF(Scenario_Select='CBA Inputs'!$T41,1,0)</f>
        <v>0</v>
      </c>
      <c r="BB84" s="17">
        <f>-IF(AND(Q$58&gt;='CBA Inputs'!$P41,Q$58&lt;='CBA Inputs'!$Q41),'CBA Inputs'!$O41/('CBA Inputs'!$Q41-'CBA Inputs'!$P41+1),0)*IF(Q$58=0,0,1)*CapitalCost_ACTIVE*Q$55*IF(Scenario_Select='CBA Inputs'!$T41,1,0)</f>
        <v>0</v>
      </c>
      <c r="BC84" s="17">
        <f>-IF(AND(R$58&gt;='CBA Inputs'!$P41,R$58&lt;='CBA Inputs'!$Q41),'CBA Inputs'!$O41/('CBA Inputs'!$Q41-'CBA Inputs'!$P41+1),0)*IF(R$58=0,0,1)*CapitalCost_ACTIVE*R$55*IF(Scenario_Select='CBA Inputs'!$T41,1,0)</f>
        <v>0</v>
      </c>
      <c r="BD84" s="17">
        <f>-IF(AND(S$58&gt;='CBA Inputs'!$P41,S$58&lt;='CBA Inputs'!$Q41),'CBA Inputs'!$O41/('CBA Inputs'!$Q41-'CBA Inputs'!$P41+1),0)*IF(S$58=0,0,1)*CapitalCost_ACTIVE*S$55*IF(Scenario_Select='CBA Inputs'!$T41,1,0)</f>
        <v>0</v>
      </c>
      <c r="BE84" s="17">
        <f>-IF(AND(T$58&gt;='CBA Inputs'!$P41,T$58&lt;='CBA Inputs'!$Q41),'CBA Inputs'!$O41/('CBA Inputs'!$Q41-'CBA Inputs'!$P41+1),0)*IF(T$58=0,0,1)*CapitalCost_ACTIVE*T$55*IF(Scenario_Select='CBA Inputs'!$T41,1,0)</f>
        <v>0</v>
      </c>
      <c r="BF84" s="17">
        <f>-IF(AND(U$58&gt;='CBA Inputs'!$P41,U$58&lt;='CBA Inputs'!$Q41),'CBA Inputs'!$O41/('CBA Inputs'!$Q41-'CBA Inputs'!$P41+1),0)*IF(U$58=0,0,1)*CapitalCost_ACTIVE*U$55*IF(Scenario_Select='CBA Inputs'!$T41,1,0)</f>
        <v>0</v>
      </c>
      <c r="BG84" s="17">
        <f>-IF(AND(V$58&gt;='CBA Inputs'!$P41,V$58&lt;='CBA Inputs'!$Q41),'CBA Inputs'!$O41/('CBA Inputs'!$Q41-'CBA Inputs'!$P41+1),0)*IF(V$58=0,0,1)*CapitalCost_ACTIVE*V$55*IF(Scenario_Select='CBA Inputs'!$T41,1,0)</f>
        <v>0</v>
      </c>
      <c r="BH84" s="17">
        <f>-IF(AND(W$58&gt;='CBA Inputs'!$P41,W$58&lt;='CBA Inputs'!$Q41),'CBA Inputs'!$O41/('CBA Inputs'!$Q41-'CBA Inputs'!$P41+1),0)*IF(W$58=0,0,1)*CapitalCost_ACTIVE*W$55*IF(Scenario_Select='CBA Inputs'!$T41,1,0)</f>
        <v>0</v>
      </c>
      <c r="BI84" s="17">
        <f>-IF(AND(X$58&gt;='CBA Inputs'!$P41,X$58&lt;='CBA Inputs'!$Q41),'CBA Inputs'!$O41/('CBA Inputs'!$Q41-'CBA Inputs'!$P41+1),0)*IF(X$58=0,0,1)*CapitalCost_ACTIVE*X$55*IF(Scenario_Select='CBA Inputs'!$T41,1,0)</f>
        <v>0</v>
      </c>
      <c r="BJ84" s="17">
        <f>-IF(AND(Y$58&gt;='CBA Inputs'!$P41,Y$58&lt;='CBA Inputs'!$Q41),'CBA Inputs'!$O41/('CBA Inputs'!$Q41-'CBA Inputs'!$P41+1),0)*IF(Y$58=0,0,1)*CapitalCost_ACTIVE*Y$55*IF(Scenario_Select='CBA Inputs'!$T41,1,0)</f>
        <v>0</v>
      </c>
      <c r="BK84" s="17">
        <f>-IF(AND(Z$58&gt;='CBA Inputs'!$P41,Z$58&lt;='CBA Inputs'!$Q41),'CBA Inputs'!$O41/('CBA Inputs'!$Q41-'CBA Inputs'!$P41+1),0)*IF(Z$58=0,0,1)*CapitalCost_ACTIVE*Z$55*IF(Scenario_Select='CBA Inputs'!$T41,1,0)</f>
        <v>0</v>
      </c>
      <c r="BL84" s="17">
        <f>-IF(AND(AA$58&gt;='CBA Inputs'!$P41,AA$58&lt;='CBA Inputs'!$Q41),'CBA Inputs'!$O41/('CBA Inputs'!$Q41-'CBA Inputs'!$P41+1),0)*IF(AA$58=0,0,1)*CapitalCost_ACTIVE*AA$55*IF(Scenario_Select='CBA Inputs'!$T41,1,0)</f>
        <v>0</v>
      </c>
      <c r="BM84" s="17">
        <f>-IF(AND(AB$58&gt;='CBA Inputs'!$P41,AB$58&lt;='CBA Inputs'!$Q41),'CBA Inputs'!$O41/('CBA Inputs'!$Q41-'CBA Inputs'!$P41+1),0)*IF(AB$58=0,0,1)*CapitalCost_ACTIVE*AB$55*IF(Scenario_Select='CBA Inputs'!$T41,1,0)</f>
        <v>0</v>
      </c>
      <c r="BN84" s="17">
        <f>-IF(AND(AC$58&gt;='CBA Inputs'!$P41,AC$58&lt;='CBA Inputs'!$Q41),'CBA Inputs'!$O41/('CBA Inputs'!$Q41-'CBA Inputs'!$P41+1),0)*IF(AC$58=0,0,1)*CapitalCost_ACTIVE*AC$55*IF(Scenario_Select='CBA Inputs'!$T41,1,0)</f>
        <v>0</v>
      </c>
      <c r="BO84" s="17">
        <f>-IF(AND(AD$58&gt;='CBA Inputs'!$P41,AD$58&lt;='CBA Inputs'!$Q41),'CBA Inputs'!$O41/('CBA Inputs'!$Q41-'CBA Inputs'!$P41+1),0)*IF(AD$58=0,0,1)*CapitalCost_ACTIVE*AD$55*IF(Scenario_Select='CBA Inputs'!$T41,1,0)</f>
        <v>0</v>
      </c>
      <c r="BP84" s="17">
        <f>-IF(AND(AE$58&gt;='CBA Inputs'!$P41,AE$58&lt;='CBA Inputs'!$Q41),'CBA Inputs'!$O41/('CBA Inputs'!$Q41-'CBA Inputs'!$P41+1),0)*IF(AE$58=0,0,1)*CapitalCost_ACTIVE*AE$55*IF(Scenario_Select='CBA Inputs'!$T41,1,0)</f>
        <v>0</v>
      </c>
      <c r="BQ84" s="17">
        <f>-IF(AND(AF$58&gt;='CBA Inputs'!$P41,AF$58&lt;='CBA Inputs'!$Q41),'CBA Inputs'!$O41/('CBA Inputs'!$Q41-'CBA Inputs'!$P41+1),0)*IF(AF$58=0,0,1)*CapitalCost_ACTIVE*AF$55*IF(Scenario_Select='CBA Inputs'!$T41,1,0)</f>
        <v>0</v>
      </c>
      <c r="BR84" s="17">
        <f>-IF(AND(AG$58&gt;='CBA Inputs'!$P41,AG$58&lt;='CBA Inputs'!$Q41),'CBA Inputs'!$O41/('CBA Inputs'!$Q41-'CBA Inputs'!$P41+1),0)*IF(AG$58=0,0,1)*CapitalCost_ACTIVE*AG$55*IF(Scenario_Select='CBA Inputs'!$T41,1,0)</f>
        <v>0</v>
      </c>
      <c r="BS84" s="17">
        <f>-IF(AND(AH$58&gt;='CBA Inputs'!$P41,AH$58&lt;='CBA Inputs'!$Q41),'CBA Inputs'!$O41/('CBA Inputs'!$Q41-'CBA Inputs'!$P41+1),0)*IF(AH$58=0,0,1)*CapitalCost_ACTIVE*AH$55*IF(Scenario_Select='CBA Inputs'!$T41,1,0)</f>
        <v>0</v>
      </c>
      <c r="BT84" s="17">
        <f>-IF(AND(AI$58&gt;='CBA Inputs'!$P41,AI$58&lt;='CBA Inputs'!$Q41),'CBA Inputs'!$O41/('CBA Inputs'!$Q41-'CBA Inputs'!$P41+1),0)*IF(AI$58=0,0,1)*CapitalCost_ACTIVE*AI$55*IF(Scenario_Select='CBA Inputs'!$T41,1,0)</f>
        <v>0</v>
      </c>
      <c r="BU84" s="17">
        <f>-IF(AND(AJ$58&gt;='CBA Inputs'!$P41,AJ$58&lt;='CBA Inputs'!$Q41),'CBA Inputs'!$O41/('CBA Inputs'!$Q41-'CBA Inputs'!$P41+1),0)*IF(AJ$58=0,0,1)*CapitalCost_ACTIVE*AJ$55*IF(Scenario_Select='CBA Inputs'!$T41,1,0)</f>
        <v>0</v>
      </c>
      <c r="BV84" s="178">
        <f>IFERROR(PMT(DiscountRate_ACTIVE,'CBA Inputs'!S41,'CBA Inputs'!O41),0)*IF(Scenario_Select='CBA Inputs'!$T41,1,0)</f>
        <v>0</v>
      </c>
    </row>
    <row r="85" spans="2:74" x14ac:dyDescent="0.35">
      <c r="B85" s="24">
        <f>+'CBA Inputs'!B42</f>
        <v>11</v>
      </c>
      <c r="C85" s="25" t="str">
        <f>+'CBA Inputs'!C42</f>
        <v>Option 4B</v>
      </c>
      <c r="D85" s="25" t="str">
        <f>'CBA Inputs'!D42</f>
        <v>Lines</v>
      </c>
      <c r="E85" s="12" t="s">
        <v>35</v>
      </c>
      <c r="F85" s="18">
        <f t="shared" si="28"/>
        <v>-946407469.68115985</v>
      </c>
      <c r="G85" s="17">
        <f>-IF(AND(G$58&gt;='CBA Inputs'!$F42,G$58&lt;='CBA Inputs'!$G42),'CBA Inputs'!$E42/('CBA Inputs'!$G42-'CBA Inputs'!$F42+1),0)*IF(G$58=0,0,1)*CapitalCost_ACTIVE*G$55</f>
        <v>0</v>
      </c>
      <c r="H85" s="17">
        <f>-IF(AND(H$58&gt;='CBA Inputs'!$F42,H$58&lt;='CBA Inputs'!$G42),'CBA Inputs'!$E42/('CBA Inputs'!$G42-'CBA Inputs'!$F42+1),0)*IF(H$58=0,0,1)*CapitalCost_ACTIVE*H$55</f>
        <v>-272500000</v>
      </c>
      <c r="I85" s="17">
        <f>-IF(AND(I$58&gt;='CBA Inputs'!$F42,I$58&lt;='CBA Inputs'!$G42),'CBA Inputs'!$E42/('CBA Inputs'!$G42-'CBA Inputs'!$F42+1),0)*IF(I$58=0,0,1)*CapitalCost_ACTIVE*I$55</f>
        <v>-272500000</v>
      </c>
      <c r="J85" s="17">
        <f>-IF(AND(J$58&gt;='CBA Inputs'!$F42,J$58&lt;='CBA Inputs'!$G42),'CBA Inputs'!$E42/('CBA Inputs'!$G42-'CBA Inputs'!$F42+1),0)*IF(J$58=0,0,1)*CapitalCost_ACTIVE*J$55</f>
        <v>-272500000</v>
      </c>
      <c r="K85" s="17">
        <f>-IF(AND(K$58&gt;='CBA Inputs'!$F42,K$58&lt;='CBA Inputs'!$G42),'CBA Inputs'!$E42/('CBA Inputs'!$G42-'CBA Inputs'!$F42+1),0)*IF(K$58=0,0,1)*CapitalCost_ACTIVE*K$55</f>
        <v>-272500000</v>
      </c>
      <c r="L85" s="17">
        <f>-IF(AND(L$58&gt;='CBA Inputs'!$F42,L$58&lt;='CBA Inputs'!$G42),'CBA Inputs'!$E42/('CBA Inputs'!$G42-'CBA Inputs'!$F42+1),0)*IF(L$58=0,0,1)*CapitalCost_ACTIVE*L$55</f>
        <v>0</v>
      </c>
      <c r="M85" s="17">
        <f>-IF(AND(M$58&gt;='CBA Inputs'!$F42,M$58&lt;='CBA Inputs'!$G42),'CBA Inputs'!$E42/('CBA Inputs'!$G42-'CBA Inputs'!$F42+1),0)*IF(M$58=0,0,1)*CapitalCost_ACTIVE*M$55</f>
        <v>0</v>
      </c>
      <c r="N85" s="17">
        <f>-IF(AND(N$58&gt;='CBA Inputs'!$F42,N$58&lt;='CBA Inputs'!$G42),'CBA Inputs'!$E42/('CBA Inputs'!$G42-'CBA Inputs'!$F42+1),0)*IF(N$58=0,0,1)*CapitalCost_ACTIVE*N$55</f>
        <v>0</v>
      </c>
      <c r="O85" s="17">
        <f>-IF(AND(O$58&gt;='CBA Inputs'!$F42,O$58&lt;='CBA Inputs'!$G42),'CBA Inputs'!$E42/('CBA Inputs'!$G42-'CBA Inputs'!$F42+1),0)*IF(O$58=0,0,1)*CapitalCost_ACTIVE*O$55</f>
        <v>0</v>
      </c>
      <c r="P85" s="17">
        <f>-IF(AND(P$58&gt;='CBA Inputs'!$F42,P$58&lt;='CBA Inputs'!$G42),'CBA Inputs'!$E42/('CBA Inputs'!$G42-'CBA Inputs'!$F42+1),0)*IF(P$58=0,0,1)*CapitalCost_ACTIVE*P$55</f>
        <v>0</v>
      </c>
      <c r="Q85" s="17">
        <f>-IF(AND(Q$58&gt;='CBA Inputs'!$F42,Q$58&lt;='CBA Inputs'!$G42),'CBA Inputs'!$E42/('CBA Inputs'!$G42-'CBA Inputs'!$F42+1),0)*IF(Q$58=0,0,1)*CapitalCost_ACTIVE*Q$55</f>
        <v>0</v>
      </c>
      <c r="R85" s="17">
        <f>-IF(AND(R$58&gt;='CBA Inputs'!$F42,R$58&lt;='CBA Inputs'!$G42),'CBA Inputs'!$E42/('CBA Inputs'!$G42-'CBA Inputs'!$F42+1),0)*IF(R$58=0,0,1)*CapitalCost_ACTIVE*R$55</f>
        <v>0</v>
      </c>
      <c r="S85" s="17">
        <f>-IF(AND(S$58&gt;='CBA Inputs'!$F42,S$58&lt;='CBA Inputs'!$G42),'CBA Inputs'!$E42/('CBA Inputs'!$G42-'CBA Inputs'!$F42+1),0)*IF(S$58=0,0,1)*CapitalCost_ACTIVE*S$55</f>
        <v>0</v>
      </c>
      <c r="T85" s="17">
        <f>-IF(AND(T$58&gt;='CBA Inputs'!$F42,T$58&lt;='CBA Inputs'!$G42),'CBA Inputs'!$E42/('CBA Inputs'!$G42-'CBA Inputs'!$F42+1),0)*IF(T$58=0,0,1)*CapitalCost_ACTIVE*T$55</f>
        <v>0</v>
      </c>
      <c r="U85" s="17">
        <f>-IF(AND(U$58&gt;='CBA Inputs'!$F42,U$58&lt;='CBA Inputs'!$G42),'CBA Inputs'!$E42/('CBA Inputs'!$G42-'CBA Inputs'!$F42+1),0)*IF(U$58=0,0,1)*CapitalCost_ACTIVE*U$55</f>
        <v>0</v>
      </c>
      <c r="V85" s="17">
        <f>-IF(AND(V$58&gt;='CBA Inputs'!$F42,V$58&lt;='CBA Inputs'!$G42),'CBA Inputs'!$E42/('CBA Inputs'!$G42-'CBA Inputs'!$F42+1),0)*IF(V$58=0,0,1)*CapitalCost_ACTIVE*V$55</f>
        <v>0</v>
      </c>
      <c r="W85" s="17">
        <f>-IF(AND(W$58&gt;='CBA Inputs'!$F42,W$58&lt;='CBA Inputs'!$G42),'CBA Inputs'!$E42/('CBA Inputs'!$G42-'CBA Inputs'!$F42+1),0)*IF(W$58=0,0,1)*CapitalCost_ACTIVE*W$55</f>
        <v>0</v>
      </c>
      <c r="X85" s="17">
        <f>-IF(AND(X$58&gt;='CBA Inputs'!$F42,X$58&lt;='CBA Inputs'!$G42),'CBA Inputs'!$E42/('CBA Inputs'!$G42-'CBA Inputs'!$F42+1),0)*IF(X$58=0,0,1)*CapitalCost_ACTIVE*X$55</f>
        <v>0</v>
      </c>
      <c r="Y85" s="17">
        <f>-IF(AND(Y$58&gt;='CBA Inputs'!$F42,Y$58&lt;='CBA Inputs'!$G42),'CBA Inputs'!$E42/('CBA Inputs'!$G42-'CBA Inputs'!$F42+1),0)*IF(Y$58=0,0,1)*CapitalCost_ACTIVE*Y$55</f>
        <v>0</v>
      </c>
      <c r="Z85" s="17">
        <f>-IF(AND(Z$58&gt;='CBA Inputs'!$F42,Z$58&lt;='CBA Inputs'!$G42),'CBA Inputs'!$E42/('CBA Inputs'!$G42-'CBA Inputs'!$F42+1),0)*IF(Z$58=0,0,1)*CapitalCost_ACTIVE*Z$55</f>
        <v>0</v>
      </c>
      <c r="AA85" s="17">
        <f>-IF(AND(AA$58&gt;='CBA Inputs'!$F42,AA$58&lt;='CBA Inputs'!$G42),'CBA Inputs'!$E42/('CBA Inputs'!$G42-'CBA Inputs'!$F42+1),0)*IF(AA$58=0,0,1)*CapitalCost_ACTIVE*AA$55</f>
        <v>0</v>
      </c>
      <c r="AB85" s="17">
        <f>-IF(AND(AB$58&gt;='CBA Inputs'!$F42,AB$58&lt;='CBA Inputs'!$G42),'CBA Inputs'!$E42/('CBA Inputs'!$G42-'CBA Inputs'!$F42+1),0)*IF(AB$58=0,0,1)*CapitalCost_ACTIVE*AB$55</f>
        <v>0</v>
      </c>
      <c r="AC85" s="17">
        <f>-IF(AND(AC$58&gt;='CBA Inputs'!$F42,AC$58&lt;='CBA Inputs'!$G42),'CBA Inputs'!$E42/('CBA Inputs'!$G42-'CBA Inputs'!$F42+1),0)*IF(AC$58=0,0,1)*CapitalCost_ACTIVE*AC$55</f>
        <v>0</v>
      </c>
      <c r="AD85" s="17">
        <f>-IF(AND(AD$58&gt;='CBA Inputs'!$F42,AD$58&lt;='CBA Inputs'!$G42),'CBA Inputs'!$E42/('CBA Inputs'!$G42-'CBA Inputs'!$F42+1),0)*IF(AD$58=0,0,1)*CapitalCost_ACTIVE*AD$55</f>
        <v>0</v>
      </c>
      <c r="AE85" s="17">
        <f>-IF(AND(AE$58&gt;='CBA Inputs'!$F42,AE$58&lt;='CBA Inputs'!$G42),'CBA Inputs'!$E42/('CBA Inputs'!$G42-'CBA Inputs'!$F42+1),0)*IF(AE$58=0,0,1)*CapitalCost_ACTIVE*AE$55</f>
        <v>0</v>
      </c>
      <c r="AF85" s="17">
        <f>-IF(AND(AF$58&gt;='CBA Inputs'!$F42,AF$58&lt;='CBA Inputs'!$G42),'CBA Inputs'!$E42/('CBA Inputs'!$G42-'CBA Inputs'!$F42+1),0)*IF(AF$58=0,0,1)*CapitalCost_ACTIVE*AF$55</f>
        <v>0</v>
      </c>
      <c r="AG85" s="17">
        <f>-IF(AND(AG$58&gt;='CBA Inputs'!$F42,AG$58&lt;='CBA Inputs'!$G42),'CBA Inputs'!$E42/('CBA Inputs'!$G42-'CBA Inputs'!$F42+1),0)*IF(AG$58=0,0,1)*CapitalCost_ACTIVE*AG$55</f>
        <v>0</v>
      </c>
      <c r="AH85" s="17">
        <f>-IF(AND(AH$58&gt;='CBA Inputs'!$F42,AH$58&lt;='CBA Inputs'!$G42),'CBA Inputs'!$E42/('CBA Inputs'!$G42-'CBA Inputs'!$F42+1),0)*IF(AH$58=0,0,1)*CapitalCost_ACTIVE*AH$55</f>
        <v>0</v>
      </c>
      <c r="AI85" s="17">
        <f>-IF(AND(AI$58&gt;='CBA Inputs'!$F42,AI$58&lt;='CBA Inputs'!$G42),'CBA Inputs'!$E42/('CBA Inputs'!$G42-'CBA Inputs'!$F42+1),0)*IF(AI$58=0,0,1)*CapitalCost_ACTIVE*AI$55</f>
        <v>0</v>
      </c>
      <c r="AJ85" s="17">
        <f>-IF(AND(AJ$58&gt;='CBA Inputs'!$F42,AJ$58&lt;='CBA Inputs'!$G42),'CBA Inputs'!$E42/('CBA Inputs'!$G42-'CBA Inputs'!$F42+1),0)*IF(AJ$58=0,0,1)*CapitalCost_ACTIVE*AJ$55</f>
        <v>0</v>
      </c>
      <c r="AK85" s="178">
        <f>IFERROR(PMT(DiscountRate_ACTIVE,'CBA Inputs'!I42,'CBA Inputs'!E42),0)</f>
        <v>-68190861.764331758</v>
      </c>
      <c r="AM85" s="24" t="str">
        <f>'CBA Inputs'!L42</f>
        <v/>
      </c>
      <c r="AN85" s="24">
        <f>'CBA Inputs'!M42</f>
        <v>0</v>
      </c>
      <c r="AO85" s="24">
        <f>'CBA Inputs'!N42</f>
        <v>0</v>
      </c>
      <c r="AP85" s="12" t="s">
        <v>35</v>
      </c>
      <c r="AQ85" s="18">
        <f t="shared" si="29"/>
        <v>0</v>
      </c>
      <c r="AR85" s="17">
        <f>-IF(AND(G$58&gt;='CBA Inputs'!$P42,G$58&lt;='CBA Inputs'!$Q42),'CBA Inputs'!$O42/('CBA Inputs'!$Q42-'CBA Inputs'!$P42+1),0)*IF(G$58=0,0,1)*CapitalCost_ACTIVE*G$55*IF(Scenario_Select='CBA Inputs'!$T42,1,0)</f>
        <v>0</v>
      </c>
      <c r="AS85" s="17">
        <f>-IF(AND(H$58&gt;='CBA Inputs'!$P42,H$58&lt;='CBA Inputs'!$Q42),'CBA Inputs'!$O42/('CBA Inputs'!$Q42-'CBA Inputs'!$P42+1),0)*IF(H$58=0,0,1)*CapitalCost_ACTIVE*H$55*IF(Scenario_Select='CBA Inputs'!$T42,1,0)</f>
        <v>0</v>
      </c>
      <c r="AT85" s="17">
        <f>-IF(AND(I$58&gt;='CBA Inputs'!$P42,I$58&lt;='CBA Inputs'!$Q42),'CBA Inputs'!$O42/('CBA Inputs'!$Q42-'CBA Inputs'!$P42+1),0)*IF(I$58=0,0,1)*CapitalCost_ACTIVE*I$55*IF(Scenario_Select='CBA Inputs'!$T42,1,0)</f>
        <v>0</v>
      </c>
      <c r="AU85" s="17">
        <f>-IF(AND(J$58&gt;='CBA Inputs'!$P42,J$58&lt;='CBA Inputs'!$Q42),'CBA Inputs'!$O42/('CBA Inputs'!$Q42-'CBA Inputs'!$P42+1),0)*IF(J$58=0,0,1)*CapitalCost_ACTIVE*J$55*IF(Scenario_Select='CBA Inputs'!$T42,1,0)</f>
        <v>0</v>
      </c>
      <c r="AV85" s="17">
        <f>-IF(AND(K$58&gt;='CBA Inputs'!$P42,K$58&lt;='CBA Inputs'!$Q42),'CBA Inputs'!$O42/('CBA Inputs'!$Q42-'CBA Inputs'!$P42+1),0)*IF(K$58=0,0,1)*CapitalCost_ACTIVE*K$55*IF(Scenario_Select='CBA Inputs'!$T42,1,0)</f>
        <v>0</v>
      </c>
      <c r="AW85" s="17">
        <f>-IF(AND(L$58&gt;='CBA Inputs'!$P42,L$58&lt;='CBA Inputs'!$Q42),'CBA Inputs'!$O42/('CBA Inputs'!$Q42-'CBA Inputs'!$P42+1),0)*IF(L$58=0,0,1)*CapitalCost_ACTIVE*L$55*IF(Scenario_Select='CBA Inputs'!$T42,1,0)</f>
        <v>0</v>
      </c>
      <c r="AX85" s="17">
        <f>-IF(AND(M$58&gt;='CBA Inputs'!$P42,M$58&lt;='CBA Inputs'!$Q42),'CBA Inputs'!$O42/('CBA Inputs'!$Q42-'CBA Inputs'!$P42+1),0)*IF(M$58=0,0,1)*CapitalCost_ACTIVE*M$55*IF(Scenario_Select='CBA Inputs'!$T42,1,0)</f>
        <v>0</v>
      </c>
      <c r="AY85" s="17">
        <f>-IF(AND(N$58&gt;='CBA Inputs'!$P42,N$58&lt;='CBA Inputs'!$Q42),'CBA Inputs'!$O42/('CBA Inputs'!$Q42-'CBA Inputs'!$P42+1),0)*IF(N$58=0,0,1)*CapitalCost_ACTIVE*N$55*IF(Scenario_Select='CBA Inputs'!$T42,1,0)</f>
        <v>0</v>
      </c>
      <c r="AZ85" s="17">
        <f>-IF(AND(O$58&gt;='CBA Inputs'!$P42,O$58&lt;='CBA Inputs'!$Q42),'CBA Inputs'!$O42/('CBA Inputs'!$Q42-'CBA Inputs'!$P42+1),0)*IF(O$58=0,0,1)*CapitalCost_ACTIVE*O$55*IF(Scenario_Select='CBA Inputs'!$T42,1,0)</f>
        <v>0</v>
      </c>
      <c r="BA85" s="17">
        <f>-IF(AND(P$58&gt;='CBA Inputs'!$P42,P$58&lt;='CBA Inputs'!$Q42),'CBA Inputs'!$O42/('CBA Inputs'!$Q42-'CBA Inputs'!$P42+1),0)*IF(P$58=0,0,1)*CapitalCost_ACTIVE*P$55*IF(Scenario_Select='CBA Inputs'!$T42,1,0)</f>
        <v>0</v>
      </c>
      <c r="BB85" s="17">
        <f>-IF(AND(Q$58&gt;='CBA Inputs'!$P42,Q$58&lt;='CBA Inputs'!$Q42),'CBA Inputs'!$O42/('CBA Inputs'!$Q42-'CBA Inputs'!$P42+1),0)*IF(Q$58=0,0,1)*CapitalCost_ACTIVE*Q$55*IF(Scenario_Select='CBA Inputs'!$T42,1,0)</f>
        <v>0</v>
      </c>
      <c r="BC85" s="17">
        <f>-IF(AND(R$58&gt;='CBA Inputs'!$P42,R$58&lt;='CBA Inputs'!$Q42),'CBA Inputs'!$O42/('CBA Inputs'!$Q42-'CBA Inputs'!$P42+1),0)*IF(R$58=0,0,1)*CapitalCost_ACTIVE*R$55*IF(Scenario_Select='CBA Inputs'!$T42,1,0)</f>
        <v>0</v>
      </c>
      <c r="BD85" s="17">
        <f>-IF(AND(S$58&gt;='CBA Inputs'!$P42,S$58&lt;='CBA Inputs'!$Q42),'CBA Inputs'!$O42/('CBA Inputs'!$Q42-'CBA Inputs'!$P42+1),0)*IF(S$58=0,0,1)*CapitalCost_ACTIVE*S$55*IF(Scenario_Select='CBA Inputs'!$T42,1,0)</f>
        <v>0</v>
      </c>
      <c r="BE85" s="17">
        <f>-IF(AND(T$58&gt;='CBA Inputs'!$P42,T$58&lt;='CBA Inputs'!$Q42),'CBA Inputs'!$O42/('CBA Inputs'!$Q42-'CBA Inputs'!$P42+1),0)*IF(T$58=0,0,1)*CapitalCost_ACTIVE*T$55*IF(Scenario_Select='CBA Inputs'!$T42,1,0)</f>
        <v>0</v>
      </c>
      <c r="BF85" s="17">
        <f>-IF(AND(U$58&gt;='CBA Inputs'!$P42,U$58&lt;='CBA Inputs'!$Q42),'CBA Inputs'!$O42/('CBA Inputs'!$Q42-'CBA Inputs'!$P42+1),0)*IF(U$58=0,0,1)*CapitalCost_ACTIVE*U$55*IF(Scenario_Select='CBA Inputs'!$T42,1,0)</f>
        <v>0</v>
      </c>
      <c r="BG85" s="17">
        <f>-IF(AND(V$58&gt;='CBA Inputs'!$P42,V$58&lt;='CBA Inputs'!$Q42),'CBA Inputs'!$O42/('CBA Inputs'!$Q42-'CBA Inputs'!$P42+1),0)*IF(V$58=0,0,1)*CapitalCost_ACTIVE*V$55*IF(Scenario_Select='CBA Inputs'!$T42,1,0)</f>
        <v>0</v>
      </c>
      <c r="BH85" s="17">
        <f>-IF(AND(W$58&gt;='CBA Inputs'!$P42,W$58&lt;='CBA Inputs'!$Q42),'CBA Inputs'!$O42/('CBA Inputs'!$Q42-'CBA Inputs'!$P42+1),0)*IF(W$58=0,0,1)*CapitalCost_ACTIVE*W$55*IF(Scenario_Select='CBA Inputs'!$T42,1,0)</f>
        <v>0</v>
      </c>
      <c r="BI85" s="17">
        <f>-IF(AND(X$58&gt;='CBA Inputs'!$P42,X$58&lt;='CBA Inputs'!$Q42),'CBA Inputs'!$O42/('CBA Inputs'!$Q42-'CBA Inputs'!$P42+1),0)*IF(X$58=0,0,1)*CapitalCost_ACTIVE*X$55*IF(Scenario_Select='CBA Inputs'!$T42,1,0)</f>
        <v>0</v>
      </c>
      <c r="BJ85" s="17">
        <f>-IF(AND(Y$58&gt;='CBA Inputs'!$P42,Y$58&lt;='CBA Inputs'!$Q42),'CBA Inputs'!$O42/('CBA Inputs'!$Q42-'CBA Inputs'!$P42+1),0)*IF(Y$58=0,0,1)*CapitalCost_ACTIVE*Y$55*IF(Scenario_Select='CBA Inputs'!$T42,1,0)</f>
        <v>0</v>
      </c>
      <c r="BK85" s="17">
        <f>-IF(AND(Z$58&gt;='CBA Inputs'!$P42,Z$58&lt;='CBA Inputs'!$Q42),'CBA Inputs'!$O42/('CBA Inputs'!$Q42-'CBA Inputs'!$P42+1),0)*IF(Z$58=0,0,1)*CapitalCost_ACTIVE*Z$55*IF(Scenario_Select='CBA Inputs'!$T42,1,0)</f>
        <v>0</v>
      </c>
      <c r="BL85" s="17">
        <f>-IF(AND(AA$58&gt;='CBA Inputs'!$P42,AA$58&lt;='CBA Inputs'!$Q42),'CBA Inputs'!$O42/('CBA Inputs'!$Q42-'CBA Inputs'!$P42+1),0)*IF(AA$58=0,0,1)*CapitalCost_ACTIVE*AA$55*IF(Scenario_Select='CBA Inputs'!$T42,1,0)</f>
        <v>0</v>
      </c>
      <c r="BM85" s="17">
        <f>-IF(AND(AB$58&gt;='CBA Inputs'!$P42,AB$58&lt;='CBA Inputs'!$Q42),'CBA Inputs'!$O42/('CBA Inputs'!$Q42-'CBA Inputs'!$P42+1),0)*IF(AB$58=0,0,1)*CapitalCost_ACTIVE*AB$55*IF(Scenario_Select='CBA Inputs'!$T42,1,0)</f>
        <v>0</v>
      </c>
      <c r="BN85" s="17">
        <f>-IF(AND(AC$58&gt;='CBA Inputs'!$P42,AC$58&lt;='CBA Inputs'!$Q42),'CBA Inputs'!$O42/('CBA Inputs'!$Q42-'CBA Inputs'!$P42+1),0)*IF(AC$58=0,0,1)*CapitalCost_ACTIVE*AC$55*IF(Scenario_Select='CBA Inputs'!$T42,1,0)</f>
        <v>0</v>
      </c>
      <c r="BO85" s="17">
        <f>-IF(AND(AD$58&gt;='CBA Inputs'!$P42,AD$58&lt;='CBA Inputs'!$Q42),'CBA Inputs'!$O42/('CBA Inputs'!$Q42-'CBA Inputs'!$P42+1),0)*IF(AD$58=0,0,1)*CapitalCost_ACTIVE*AD$55*IF(Scenario_Select='CBA Inputs'!$T42,1,0)</f>
        <v>0</v>
      </c>
      <c r="BP85" s="17">
        <f>-IF(AND(AE$58&gt;='CBA Inputs'!$P42,AE$58&lt;='CBA Inputs'!$Q42),'CBA Inputs'!$O42/('CBA Inputs'!$Q42-'CBA Inputs'!$P42+1),0)*IF(AE$58=0,0,1)*CapitalCost_ACTIVE*AE$55*IF(Scenario_Select='CBA Inputs'!$T42,1,0)</f>
        <v>0</v>
      </c>
      <c r="BQ85" s="17">
        <f>-IF(AND(AF$58&gt;='CBA Inputs'!$P42,AF$58&lt;='CBA Inputs'!$Q42),'CBA Inputs'!$O42/('CBA Inputs'!$Q42-'CBA Inputs'!$P42+1),0)*IF(AF$58=0,0,1)*CapitalCost_ACTIVE*AF$55*IF(Scenario_Select='CBA Inputs'!$T42,1,0)</f>
        <v>0</v>
      </c>
      <c r="BR85" s="17">
        <f>-IF(AND(AG$58&gt;='CBA Inputs'!$P42,AG$58&lt;='CBA Inputs'!$Q42),'CBA Inputs'!$O42/('CBA Inputs'!$Q42-'CBA Inputs'!$P42+1),0)*IF(AG$58=0,0,1)*CapitalCost_ACTIVE*AG$55*IF(Scenario_Select='CBA Inputs'!$T42,1,0)</f>
        <v>0</v>
      </c>
      <c r="BS85" s="17">
        <f>-IF(AND(AH$58&gt;='CBA Inputs'!$P42,AH$58&lt;='CBA Inputs'!$Q42),'CBA Inputs'!$O42/('CBA Inputs'!$Q42-'CBA Inputs'!$P42+1),0)*IF(AH$58=0,0,1)*CapitalCost_ACTIVE*AH$55*IF(Scenario_Select='CBA Inputs'!$T42,1,0)</f>
        <v>0</v>
      </c>
      <c r="BT85" s="17">
        <f>-IF(AND(AI$58&gt;='CBA Inputs'!$P42,AI$58&lt;='CBA Inputs'!$Q42),'CBA Inputs'!$O42/('CBA Inputs'!$Q42-'CBA Inputs'!$P42+1),0)*IF(AI$58=0,0,1)*CapitalCost_ACTIVE*AI$55*IF(Scenario_Select='CBA Inputs'!$T42,1,0)</f>
        <v>0</v>
      </c>
      <c r="BU85" s="17">
        <f>-IF(AND(AJ$58&gt;='CBA Inputs'!$P42,AJ$58&lt;='CBA Inputs'!$Q42),'CBA Inputs'!$O42/('CBA Inputs'!$Q42-'CBA Inputs'!$P42+1),0)*IF(AJ$58=0,0,1)*CapitalCost_ACTIVE*AJ$55*IF(Scenario_Select='CBA Inputs'!$T42,1,0)</f>
        <v>0</v>
      </c>
      <c r="BV85" s="178">
        <f>IFERROR(PMT(DiscountRate_ACTIVE,'CBA Inputs'!S42,'CBA Inputs'!O42),0)*IF(Scenario_Select='CBA Inputs'!$T42,1,0)</f>
        <v>0</v>
      </c>
    </row>
    <row r="86" spans="2:74" x14ac:dyDescent="0.35">
      <c r="B86" s="24">
        <f>+'CBA Inputs'!B43</f>
        <v>11</v>
      </c>
      <c r="C86" s="25" t="str">
        <f>+'CBA Inputs'!C43</f>
        <v>Option 4B</v>
      </c>
      <c r="D86" s="25" t="str">
        <f>'CBA Inputs'!D43</f>
        <v>Substation</v>
      </c>
      <c r="E86" s="12" t="s">
        <v>35</v>
      </c>
      <c r="F86" s="18">
        <f t="shared" si="28"/>
        <v>-114610812.84212209</v>
      </c>
      <c r="G86" s="17">
        <f>-IF(AND(G$58&gt;='CBA Inputs'!$F43,G$58&lt;='CBA Inputs'!$G43),'CBA Inputs'!$E43/('CBA Inputs'!$G43-'CBA Inputs'!$F43+1),0)*IF(G$58=0,0,1)*CapitalCost_ACTIVE*G$55</f>
        <v>0</v>
      </c>
      <c r="H86" s="17">
        <f>-IF(AND(H$58&gt;='CBA Inputs'!$F43,H$58&lt;='CBA Inputs'!$G43),'CBA Inputs'!$E43/('CBA Inputs'!$G43-'CBA Inputs'!$F43+1),0)*IF(H$58=0,0,1)*CapitalCost_ACTIVE*H$55</f>
        <v>-33000000</v>
      </c>
      <c r="I86" s="17">
        <f>-IF(AND(I$58&gt;='CBA Inputs'!$F43,I$58&lt;='CBA Inputs'!$G43),'CBA Inputs'!$E43/('CBA Inputs'!$G43-'CBA Inputs'!$F43+1),0)*IF(I$58=0,0,1)*CapitalCost_ACTIVE*I$55</f>
        <v>-33000000</v>
      </c>
      <c r="J86" s="17">
        <f>-IF(AND(J$58&gt;='CBA Inputs'!$F43,J$58&lt;='CBA Inputs'!$G43),'CBA Inputs'!$E43/('CBA Inputs'!$G43-'CBA Inputs'!$F43+1),0)*IF(J$58=0,0,1)*CapitalCost_ACTIVE*J$55</f>
        <v>-33000000</v>
      </c>
      <c r="K86" s="17">
        <f>-IF(AND(K$58&gt;='CBA Inputs'!$F43,K$58&lt;='CBA Inputs'!$G43),'CBA Inputs'!$E43/('CBA Inputs'!$G43-'CBA Inputs'!$F43+1),0)*IF(K$58=0,0,1)*CapitalCost_ACTIVE*K$55</f>
        <v>-33000000</v>
      </c>
      <c r="L86" s="17">
        <f>-IF(AND(L$58&gt;='CBA Inputs'!$F43,L$58&lt;='CBA Inputs'!$G43),'CBA Inputs'!$E43/('CBA Inputs'!$G43-'CBA Inputs'!$F43+1),0)*IF(L$58=0,0,1)*CapitalCost_ACTIVE*L$55</f>
        <v>0</v>
      </c>
      <c r="M86" s="17">
        <f>-IF(AND(M$58&gt;='CBA Inputs'!$F43,M$58&lt;='CBA Inputs'!$G43),'CBA Inputs'!$E43/('CBA Inputs'!$G43-'CBA Inputs'!$F43+1),0)*IF(M$58=0,0,1)*CapitalCost_ACTIVE*M$55</f>
        <v>0</v>
      </c>
      <c r="N86" s="17">
        <f>-IF(AND(N$58&gt;='CBA Inputs'!$F43,N$58&lt;='CBA Inputs'!$G43),'CBA Inputs'!$E43/('CBA Inputs'!$G43-'CBA Inputs'!$F43+1),0)*IF(N$58=0,0,1)*CapitalCost_ACTIVE*N$55</f>
        <v>0</v>
      </c>
      <c r="O86" s="17">
        <f>-IF(AND(O$58&gt;='CBA Inputs'!$F43,O$58&lt;='CBA Inputs'!$G43),'CBA Inputs'!$E43/('CBA Inputs'!$G43-'CBA Inputs'!$F43+1),0)*IF(O$58=0,0,1)*CapitalCost_ACTIVE*O$55</f>
        <v>0</v>
      </c>
      <c r="P86" s="17">
        <f>-IF(AND(P$58&gt;='CBA Inputs'!$F43,P$58&lt;='CBA Inputs'!$G43),'CBA Inputs'!$E43/('CBA Inputs'!$G43-'CBA Inputs'!$F43+1),0)*IF(P$58=0,0,1)*CapitalCost_ACTIVE*P$55</f>
        <v>0</v>
      </c>
      <c r="Q86" s="17">
        <f>-IF(AND(Q$58&gt;='CBA Inputs'!$F43,Q$58&lt;='CBA Inputs'!$G43),'CBA Inputs'!$E43/('CBA Inputs'!$G43-'CBA Inputs'!$F43+1),0)*IF(Q$58=0,0,1)*CapitalCost_ACTIVE*Q$55</f>
        <v>0</v>
      </c>
      <c r="R86" s="17">
        <f>-IF(AND(R$58&gt;='CBA Inputs'!$F43,R$58&lt;='CBA Inputs'!$G43),'CBA Inputs'!$E43/('CBA Inputs'!$G43-'CBA Inputs'!$F43+1),0)*IF(R$58=0,0,1)*CapitalCost_ACTIVE*R$55</f>
        <v>0</v>
      </c>
      <c r="S86" s="17">
        <f>-IF(AND(S$58&gt;='CBA Inputs'!$F43,S$58&lt;='CBA Inputs'!$G43),'CBA Inputs'!$E43/('CBA Inputs'!$G43-'CBA Inputs'!$F43+1),0)*IF(S$58=0,0,1)*CapitalCost_ACTIVE*S$55</f>
        <v>0</v>
      </c>
      <c r="T86" s="17">
        <f>-IF(AND(T$58&gt;='CBA Inputs'!$F43,T$58&lt;='CBA Inputs'!$G43),'CBA Inputs'!$E43/('CBA Inputs'!$G43-'CBA Inputs'!$F43+1),0)*IF(T$58=0,0,1)*CapitalCost_ACTIVE*T$55</f>
        <v>0</v>
      </c>
      <c r="U86" s="17">
        <f>-IF(AND(U$58&gt;='CBA Inputs'!$F43,U$58&lt;='CBA Inputs'!$G43),'CBA Inputs'!$E43/('CBA Inputs'!$G43-'CBA Inputs'!$F43+1),0)*IF(U$58=0,0,1)*CapitalCost_ACTIVE*U$55</f>
        <v>0</v>
      </c>
      <c r="V86" s="17">
        <f>-IF(AND(V$58&gt;='CBA Inputs'!$F43,V$58&lt;='CBA Inputs'!$G43),'CBA Inputs'!$E43/('CBA Inputs'!$G43-'CBA Inputs'!$F43+1),0)*IF(V$58=0,0,1)*CapitalCost_ACTIVE*V$55</f>
        <v>0</v>
      </c>
      <c r="W86" s="17">
        <f>-IF(AND(W$58&gt;='CBA Inputs'!$F43,W$58&lt;='CBA Inputs'!$G43),'CBA Inputs'!$E43/('CBA Inputs'!$G43-'CBA Inputs'!$F43+1),0)*IF(W$58=0,0,1)*CapitalCost_ACTIVE*W$55</f>
        <v>0</v>
      </c>
      <c r="X86" s="17">
        <f>-IF(AND(X$58&gt;='CBA Inputs'!$F43,X$58&lt;='CBA Inputs'!$G43),'CBA Inputs'!$E43/('CBA Inputs'!$G43-'CBA Inputs'!$F43+1),0)*IF(X$58=0,0,1)*CapitalCost_ACTIVE*X$55</f>
        <v>0</v>
      </c>
      <c r="Y86" s="17">
        <f>-IF(AND(Y$58&gt;='CBA Inputs'!$F43,Y$58&lt;='CBA Inputs'!$G43),'CBA Inputs'!$E43/('CBA Inputs'!$G43-'CBA Inputs'!$F43+1),0)*IF(Y$58=0,0,1)*CapitalCost_ACTIVE*Y$55</f>
        <v>0</v>
      </c>
      <c r="Z86" s="17">
        <f>-IF(AND(Z$58&gt;='CBA Inputs'!$F43,Z$58&lt;='CBA Inputs'!$G43),'CBA Inputs'!$E43/('CBA Inputs'!$G43-'CBA Inputs'!$F43+1),0)*IF(Z$58=0,0,1)*CapitalCost_ACTIVE*Z$55</f>
        <v>0</v>
      </c>
      <c r="AA86" s="17">
        <f>-IF(AND(AA$58&gt;='CBA Inputs'!$F43,AA$58&lt;='CBA Inputs'!$G43),'CBA Inputs'!$E43/('CBA Inputs'!$G43-'CBA Inputs'!$F43+1),0)*IF(AA$58=0,0,1)*CapitalCost_ACTIVE*AA$55</f>
        <v>0</v>
      </c>
      <c r="AB86" s="17">
        <f>-IF(AND(AB$58&gt;='CBA Inputs'!$F43,AB$58&lt;='CBA Inputs'!$G43),'CBA Inputs'!$E43/('CBA Inputs'!$G43-'CBA Inputs'!$F43+1),0)*IF(AB$58=0,0,1)*CapitalCost_ACTIVE*AB$55</f>
        <v>0</v>
      </c>
      <c r="AC86" s="17">
        <f>-IF(AND(AC$58&gt;='CBA Inputs'!$F43,AC$58&lt;='CBA Inputs'!$G43),'CBA Inputs'!$E43/('CBA Inputs'!$G43-'CBA Inputs'!$F43+1),0)*IF(AC$58=0,0,1)*CapitalCost_ACTIVE*AC$55</f>
        <v>0</v>
      </c>
      <c r="AD86" s="17">
        <f>-IF(AND(AD$58&gt;='CBA Inputs'!$F43,AD$58&lt;='CBA Inputs'!$G43),'CBA Inputs'!$E43/('CBA Inputs'!$G43-'CBA Inputs'!$F43+1),0)*IF(AD$58=0,0,1)*CapitalCost_ACTIVE*AD$55</f>
        <v>0</v>
      </c>
      <c r="AE86" s="17">
        <f>-IF(AND(AE$58&gt;='CBA Inputs'!$F43,AE$58&lt;='CBA Inputs'!$G43),'CBA Inputs'!$E43/('CBA Inputs'!$G43-'CBA Inputs'!$F43+1),0)*IF(AE$58=0,0,1)*CapitalCost_ACTIVE*AE$55</f>
        <v>0</v>
      </c>
      <c r="AF86" s="17">
        <f>-IF(AND(AF$58&gt;='CBA Inputs'!$F43,AF$58&lt;='CBA Inputs'!$G43),'CBA Inputs'!$E43/('CBA Inputs'!$G43-'CBA Inputs'!$F43+1),0)*IF(AF$58=0,0,1)*CapitalCost_ACTIVE*AF$55</f>
        <v>0</v>
      </c>
      <c r="AG86" s="17">
        <f>-IF(AND(AG$58&gt;='CBA Inputs'!$F43,AG$58&lt;='CBA Inputs'!$G43),'CBA Inputs'!$E43/('CBA Inputs'!$G43-'CBA Inputs'!$F43+1),0)*IF(AG$58=0,0,1)*CapitalCost_ACTIVE*AG$55</f>
        <v>0</v>
      </c>
      <c r="AH86" s="17">
        <f>-IF(AND(AH$58&gt;='CBA Inputs'!$F43,AH$58&lt;='CBA Inputs'!$G43),'CBA Inputs'!$E43/('CBA Inputs'!$G43-'CBA Inputs'!$F43+1),0)*IF(AH$58=0,0,1)*CapitalCost_ACTIVE*AH$55</f>
        <v>0</v>
      </c>
      <c r="AI86" s="17">
        <f>-IF(AND(AI$58&gt;='CBA Inputs'!$F43,AI$58&lt;='CBA Inputs'!$G43),'CBA Inputs'!$E43/('CBA Inputs'!$G43-'CBA Inputs'!$F43+1),0)*IF(AI$58=0,0,1)*CapitalCost_ACTIVE*AI$55</f>
        <v>0</v>
      </c>
      <c r="AJ86" s="17">
        <f>-IF(AND(AJ$58&gt;='CBA Inputs'!$F43,AJ$58&lt;='CBA Inputs'!$G43),'CBA Inputs'!$E43/('CBA Inputs'!$G43-'CBA Inputs'!$F43+1),0)*IF(AJ$58=0,0,1)*CapitalCost_ACTIVE*AJ$55</f>
        <v>0</v>
      </c>
      <c r="AK86" s="178">
        <f>IFERROR(PMT(DiscountRate_ACTIVE,'CBA Inputs'!I43,'CBA Inputs'!E43),0)</f>
        <v>-8662600.8596737664</v>
      </c>
      <c r="AM86" s="24" t="str">
        <f>'CBA Inputs'!L43</f>
        <v/>
      </c>
      <c r="AN86" s="24">
        <f>'CBA Inputs'!M43</f>
        <v>0</v>
      </c>
      <c r="AO86" s="24">
        <f>'CBA Inputs'!N43</f>
        <v>0</v>
      </c>
      <c r="AP86" s="12" t="s">
        <v>35</v>
      </c>
      <c r="AQ86" s="18">
        <f t="shared" si="29"/>
        <v>0</v>
      </c>
      <c r="AR86" s="17">
        <f>-IF(AND(G$58&gt;='CBA Inputs'!$P43,G$58&lt;='CBA Inputs'!$Q43),'CBA Inputs'!$O43/('CBA Inputs'!$Q43-'CBA Inputs'!$P43+1),0)*IF(G$58=0,0,1)*CapitalCost_ACTIVE*G$55*IF(Scenario_Select='CBA Inputs'!$T43,1,0)</f>
        <v>0</v>
      </c>
      <c r="AS86" s="17">
        <f>-IF(AND(H$58&gt;='CBA Inputs'!$P43,H$58&lt;='CBA Inputs'!$Q43),'CBA Inputs'!$O43/('CBA Inputs'!$Q43-'CBA Inputs'!$P43+1),0)*IF(H$58=0,0,1)*CapitalCost_ACTIVE*H$55*IF(Scenario_Select='CBA Inputs'!$T43,1,0)</f>
        <v>0</v>
      </c>
      <c r="AT86" s="17">
        <f>-IF(AND(I$58&gt;='CBA Inputs'!$P43,I$58&lt;='CBA Inputs'!$Q43),'CBA Inputs'!$O43/('CBA Inputs'!$Q43-'CBA Inputs'!$P43+1),0)*IF(I$58=0,0,1)*CapitalCost_ACTIVE*I$55*IF(Scenario_Select='CBA Inputs'!$T43,1,0)</f>
        <v>0</v>
      </c>
      <c r="AU86" s="17">
        <f>-IF(AND(J$58&gt;='CBA Inputs'!$P43,J$58&lt;='CBA Inputs'!$Q43),'CBA Inputs'!$O43/('CBA Inputs'!$Q43-'CBA Inputs'!$P43+1),0)*IF(J$58=0,0,1)*CapitalCost_ACTIVE*J$55*IF(Scenario_Select='CBA Inputs'!$T43,1,0)</f>
        <v>0</v>
      </c>
      <c r="AV86" s="17">
        <f>-IF(AND(K$58&gt;='CBA Inputs'!$P43,K$58&lt;='CBA Inputs'!$Q43),'CBA Inputs'!$O43/('CBA Inputs'!$Q43-'CBA Inputs'!$P43+1),0)*IF(K$58=0,0,1)*CapitalCost_ACTIVE*K$55*IF(Scenario_Select='CBA Inputs'!$T43,1,0)</f>
        <v>0</v>
      </c>
      <c r="AW86" s="17">
        <f>-IF(AND(L$58&gt;='CBA Inputs'!$P43,L$58&lt;='CBA Inputs'!$Q43),'CBA Inputs'!$O43/('CBA Inputs'!$Q43-'CBA Inputs'!$P43+1),0)*IF(L$58=0,0,1)*CapitalCost_ACTIVE*L$55*IF(Scenario_Select='CBA Inputs'!$T43,1,0)</f>
        <v>0</v>
      </c>
      <c r="AX86" s="17">
        <f>-IF(AND(M$58&gt;='CBA Inputs'!$P43,M$58&lt;='CBA Inputs'!$Q43),'CBA Inputs'!$O43/('CBA Inputs'!$Q43-'CBA Inputs'!$P43+1),0)*IF(M$58=0,0,1)*CapitalCost_ACTIVE*M$55*IF(Scenario_Select='CBA Inputs'!$T43,1,0)</f>
        <v>0</v>
      </c>
      <c r="AY86" s="17">
        <f>-IF(AND(N$58&gt;='CBA Inputs'!$P43,N$58&lt;='CBA Inputs'!$Q43),'CBA Inputs'!$O43/('CBA Inputs'!$Q43-'CBA Inputs'!$P43+1),0)*IF(N$58=0,0,1)*CapitalCost_ACTIVE*N$55*IF(Scenario_Select='CBA Inputs'!$T43,1,0)</f>
        <v>0</v>
      </c>
      <c r="AZ86" s="17">
        <f>-IF(AND(O$58&gt;='CBA Inputs'!$P43,O$58&lt;='CBA Inputs'!$Q43),'CBA Inputs'!$O43/('CBA Inputs'!$Q43-'CBA Inputs'!$P43+1),0)*IF(O$58=0,0,1)*CapitalCost_ACTIVE*O$55*IF(Scenario_Select='CBA Inputs'!$T43,1,0)</f>
        <v>0</v>
      </c>
      <c r="BA86" s="17">
        <f>-IF(AND(P$58&gt;='CBA Inputs'!$P43,P$58&lt;='CBA Inputs'!$Q43),'CBA Inputs'!$O43/('CBA Inputs'!$Q43-'CBA Inputs'!$P43+1),0)*IF(P$58=0,0,1)*CapitalCost_ACTIVE*P$55*IF(Scenario_Select='CBA Inputs'!$T43,1,0)</f>
        <v>0</v>
      </c>
      <c r="BB86" s="17">
        <f>-IF(AND(Q$58&gt;='CBA Inputs'!$P43,Q$58&lt;='CBA Inputs'!$Q43),'CBA Inputs'!$O43/('CBA Inputs'!$Q43-'CBA Inputs'!$P43+1),0)*IF(Q$58=0,0,1)*CapitalCost_ACTIVE*Q$55*IF(Scenario_Select='CBA Inputs'!$T43,1,0)</f>
        <v>0</v>
      </c>
      <c r="BC86" s="17">
        <f>-IF(AND(R$58&gt;='CBA Inputs'!$P43,R$58&lt;='CBA Inputs'!$Q43),'CBA Inputs'!$O43/('CBA Inputs'!$Q43-'CBA Inputs'!$P43+1),0)*IF(R$58=0,0,1)*CapitalCost_ACTIVE*R$55*IF(Scenario_Select='CBA Inputs'!$T43,1,0)</f>
        <v>0</v>
      </c>
      <c r="BD86" s="17">
        <f>-IF(AND(S$58&gt;='CBA Inputs'!$P43,S$58&lt;='CBA Inputs'!$Q43),'CBA Inputs'!$O43/('CBA Inputs'!$Q43-'CBA Inputs'!$P43+1),0)*IF(S$58=0,0,1)*CapitalCost_ACTIVE*S$55*IF(Scenario_Select='CBA Inputs'!$T43,1,0)</f>
        <v>0</v>
      </c>
      <c r="BE86" s="17">
        <f>-IF(AND(T$58&gt;='CBA Inputs'!$P43,T$58&lt;='CBA Inputs'!$Q43),'CBA Inputs'!$O43/('CBA Inputs'!$Q43-'CBA Inputs'!$P43+1),0)*IF(T$58=0,0,1)*CapitalCost_ACTIVE*T$55*IF(Scenario_Select='CBA Inputs'!$T43,1,0)</f>
        <v>0</v>
      </c>
      <c r="BF86" s="17">
        <f>-IF(AND(U$58&gt;='CBA Inputs'!$P43,U$58&lt;='CBA Inputs'!$Q43),'CBA Inputs'!$O43/('CBA Inputs'!$Q43-'CBA Inputs'!$P43+1),0)*IF(U$58=0,0,1)*CapitalCost_ACTIVE*U$55*IF(Scenario_Select='CBA Inputs'!$T43,1,0)</f>
        <v>0</v>
      </c>
      <c r="BG86" s="17">
        <f>-IF(AND(V$58&gt;='CBA Inputs'!$P43,V$58&lt;='CBA Inputs'!$Q43),'CBA Inputs'!$O43/('CBA Inputs'!$Q43-'CBA Inputs'!$P43+1),0)*IF(V$58=0,0,1)*CapitalCost_ACTIVE*V$55*IF(Scenario_Select='CBA Inputs'!$T43,1,0)</f>
        <v>0</v>
      </c>
      <c r="BH86" s="17">
        <f>-IF(AND(W$58&gt;='CBA Inputs'!$P43,W$58&lt;='CBA Inputs'!$Q43),'CBA Inputs'!$O43/('CBA Inputs'!$Q43-'CBA Inputs'!$P43+1),0)*IF(W$58=0,0,1)*CapitalCost_ACTIVE*W$55*IF(Scenario_Select='CBA Inputs'!$T43,1,0)</f>
        <v>0</v>
      </c>
      <c r="BI86" s="17">
        <f>-IF(AND(X$58&gt;='CBA Inputs'!$P43,X$58&lt;='CBA Inputs'!$Q43),'CBA Inputs'!$O43/('CBA Inputs'!$Q43-'CBA Inputs'!$P43+1),0)*IF(X$58=0,0,1)*CapitalCost_ACTIVE*X$55*IF(Scenario_Select='CBA Inputs'!$T43,1,0)</f>
        <v>0</v>
      </c>
      <c r="BJ86" s="17">
        <f>-IF(AND(Y$58&gt;='CBA Inputs'!$P43,Y$58&lt;='CBA Inputs'!$Q43),'CBA Inputs'!$O43/('CBA Inputs'!$Q43-'CBA Inputs'!$P43+1),0)*IF(Y$58=0,0,1)*CapitalCost_ACTIVE*Y$55*IF(Scenario_Select='CBA Inputs'!$T43,1,0)</f>
        <v>0</v>
      </c>
      <c r="BK86" s="17">
        <f>-IF(AND(Z$58&gt;='CBA Inputs'!$P43,Z$58&lt;='CBA Inputs'!$Q43),'CBA Inputs'!$O43/('CBA Inputs'!$Q43-'CBA Inputs'!$P43+1),0)*IF(Z$58=0,0,1)*CapitalCost_ACTIVE*Z$55*IF(Scenario_Select='CBA Inputs'!$T43,1,0)</f>
        <v>0</v>
      </c>
      <c r="BL86" s="17">
        <f>-IF(AND(AA$58&gt;='CBA Inputs'!$P43,AA$58&lt;='CBA Inputs'!$Q43),'CBA Inputs'!$O43/('CBA Inputs'!$Q43-'CBA Inputs'!$P43+1),0)*IF(AA$58=0,0,1)*CapitalCost_ACTIVE*AA$55*IF(Scenario_Select='CBA Inputs'!$T43,1,0)</f>
        <v>0</v>
      </c>
      <c r="BM86" s="17">
        <f>-IF(AND(AB$58&gt;='CBA Inputs'!$P43,AB$58&lt;='CBA Inputs'!$Q43),'CBA Inputs'!$O43/('CBA Inputs'!$Q43-'CBA Inputs'!$P43+1),0)*IF(AB$58=0,0,1)*CapitalCost_ACTIVE*AB$55*IF(Scenario_Select='CBA Inputs'!$T43,1,0)</f>
        <v>0</v>
      </c>
      <c r="BN86" s="17">
        <f>-IF(AND(AC$58&gt;='CBA Inputs'!$P43,AC$58&lt;='CBA Inputs'!$Q43),'CBA Inputs'!$O43/('CBA Inputs'!$Q43-'CBA Inputs'!$P43+1),0)*IF(AC$58=0,0,1)*CapitalCost_ACTIVE*AC$55*IF(Scenario_Select='CBA Inputs'!$T43,1,0)</f>
        <v>0</v>
      </c>
      <c r="BO86" s="17">
        <f>-IF(AND(AD$58&gt;='CBA Inputs'!$P43,AD$58&lt;='CBA Inputs'!$Q43),'CBA Inputs'!$O43/('CBA Inputs'!$Q43-'CBA Inputs'!$P43+1),0)*IF(AD$58=0,0,1)*CapitalCost_ACTIVE*AD$55*IF(Scenario_Select='CBA Inputs'!$T43,1,0)</f>
        <v>0</v>
      </c>
      <c r="BP86" s="17">
        <f>-IF(AND(AE$58&gt;='CBA Inputs'!$P43,AE$58&lt;='CBA Inputs'!$Q43),'CBA Inputs'!$O43/('CBA Inputs'!$Q43-'CBA Inputs'!$P43+1),0)*IF(AE$58=0,0,1)*CapitalCost_ACTIVE*AE$55*IF(Scenario_Select='CBA Inputs'!$T43,1,0)</f>
        <v>0</v>
      </c>
      <c r="BQ86" s="17">
        <f>-IF(AND(AF$58&gt;='CBA Inputs'!$P43,AF$58&lt;='CBA Inputs'!$Q43),'CBA Inputs'!$O43/('CBA Inputs'!$Q43-'CBA Inputs'!$P43+1),0)*IF(AF$58=0,0,1)*CapitalCost_ACTIVE*AF$55*IF(Scenario_Select='CBA Inputs'!$T43,1,0)</f>
        <v>0</v>
      </c>
      <c r="BR86" s="17">
        <f>-IF(AND(AG$58&gt;='CBA Inputs'!$P43,AG$58&lt;='CBA Inputs'!$Q43),'CBA Inputs'!$O43/('CBA Inputs'!$Q43-'CBA Inputs'!$P43+1),0)*IF(AG$58=0,0,1)*CapitalCost_ACTIVE*AG$55*IF(Scenario_Select='CBA Inputs'!$T43,1,0)</f>
        <v>0</v>
      </c>
      <c r="BS86" s="17">
        <f>-IF(AND(AH$58&gt;='CBA Inputs'!$P43,AH$58&lt;='CBA Inputs'!$Q43),'CBA Inputs'!$O43/('CBA Inputs'!$Q43-'CBA Inputs'!$P43+1),0)*IF(AH$58=0,0,1)*CapitalCost_ACTIVE*AH$55*IF(Scenario_Select='CBA Inputs'!$T43,1,0)</f>
        <v>0</v>
      </c>
      <c r="BT86" s="17">
        <f>-IF(AND(AI$58&gt;='CBA Inputs'!$P43,AI$58&lt;='CBA Inputs'!$Q43),'CBA Inputs'!$O43/('CBA Inputs'!$Q43-'CBA Inputs'!$P43+1),0)*IF(AI$58=0,0,1)*CapitalCost_ACTIVE*AI$55*IF(Scenario_Select='CBA Inputs'!$T43,1,0)</f>
        <v>0</v>
      </c>
      <c r="BU86" s="17">
        <f>-IF(AND(AJ$58&gt;='CBA Inputs'!$P43,AJ$58&lt;='CBA Inputs'!$Q43),'CBA Inputs'!$O43/('CBA Inputs'!$Q43-'CBA Inputs'!$P43+1),0)*IF(AJ$58=0,0,1)*CapitalCost_ACTIVE*AJ$55*IF(Scenario_Select='CBA Inputs'!$T43,1,0)</f>
        <v>0</v>
      </c>
      <c r="BV86" s="178">
        <f>IFERROR(PMT(DiscountRate_ACTIVE,'CBA Inputs'!S43,'CBA Inputs'!O43),0)*IF(Scenario_Select='CBA Inputs'!$T43,1,0)</f>
        <v>0</v>
      </c>
    </row>
    <row r="87" spans="2:74" x14ac:dyDescent="0.35">
      <c r="B87" s="24">
        <f>+'CBA Inputs'!B44</f>
        <v>11</v>
      </c>
      <c r="C87" s="25" t="str">
        <f>+'CBA Inputs'!C44</f>
        <v>Option 4B</v>
      </c>
      <c r="D87" s="25" t="str">
        <f>'CBA Inputs'!D44</f>
        <v>Lines</v>
      </c>
      <c r="E87" s="12" t="s">
        <v>35</v>
      </c>
      <c r="F87" s="18">
        <f t="shared" si="28"/>
        <v>-280402452.22770023</v>
      </c>
      <c r="G87" s="17">
        <f>-IF(AND(G$58&gt;='CBA Inputs'!$F44,G$58&lt;='CBA Inputs'!$G44),'CBA Inputs'!$E44/('CBA Inputs'!$G44-'CBA Inputs'!$F44+1),0)*IF(G$58=0,0,1)*CapitalCost_ACTIVE*G$55</f>
        <v>0</v>
      </c>
      <c r="H87" s="17">
        <f>-IF(AND(H$58&gt;='CBA Inputs'!$F44,H$58&lt;='CBA Inputs'!$G44),'CBA Inputs'!$E44/('CBA Inputs'!$G44-'CBA Inputs'!$F44+1),0)*IF(H$58=0,0,1)*CapitalCost_ACTIVE*H$55</f>
        <v>0</v>
      </c>
      <c r="I87" s="17">
        <f>-IF(AND(I$58&gt;='CBA Inputs'!$F44,I$58&lt;='CBA Inputs'!$G44),'CBA Inputs'!$E44/('CBA Inputs'!$G44-'CBA Inputs'!$F44+1),0)*IF(I$58=0,0,1)*CapitalCost_ACTIVE*I$55</f>
        <v>-85500000</v>
      </c>
      <c r="J87" s="17">
        <f>-IF(AND(J$58&gt;='CBA Inputs'!$F44,J$58&lt;='CBA Inputs'!$G44),'CBA Inputs'!$E44/('CBA Inputs'!$G44-'CBA Inputs'!$F44+1),0)*IF(J$58=0,0,1)*CapitalCost_ACTIVE*J$55</f>
        <v>-85500000</v>
      </c>
      <c r="K87" s="17">
        <f>-IF(AND(K$58&gt;='CBA Inputs'!$F44,K$58&lt;='CBA Inputs'!$G44),'CBA Inputs'!$E44/('CBA Inputs'!$G44-'CBA Inputs'!$F44+1),0)*IF(K$58=0,0,1)*CapitalCost_ACTIVE*K$55</f>
        <v>-85500000</v>
      </c>
      <c r="L87" s="17">
        <f>-IF(AND(L$58&gt;='CBA Inputs'!$F44,L$58&lt;='CBA Inputs'!$G44),'CBA Inputs'!$E44/('CBA Inputs'!$G44-'CBA Inputs'!$F44+1),0)*IF(L$58=0,0,1)*CapitalCost_ACTIVE*L$55</f>
        <v>-85500000</v>
      </c>
      <c r="M87" s="17">
        <f>-IF(AND(M$58&gt;='CBA Inputs'!$F44,M$58&lt;='CBA Inputs'!$G44),'CBA Inputs'!$E44/('CBA Inputs'!$G44-'CBA Inputs'!$F44+1),0)*IF(M$58=0,0,1)*CapitalCost_ACTIVE*M$55</f>
        <v>0</v>
      </c>
      <c r="N87" s="17">
        <f>-IF(AND(N$58&gt;='CBA Inputs'!$F44,N$58&lt;='CBA Inputs'!$G44),'CBA Inputs'!$E44/('CBA Inputs'!$G44-'CBA Inputs'!$F44+1),0)*IF(N$58=0,0,1)*CapitalCost_ACTIVE*N$55</f>
        <v>0</v>
      </c>
      <c r="O87" s="17">
        <f>-IF(AND(O$58&gt;='CBA Inputs'!$F44,O$58&lt;='CBA Inputs'!$G44),'CBA Inputs'!$E44/('CBA Inputs'!$G44-'CBA Inputs'!$F44+1),0)*IF(O$58=0,0,1)*CapitalCost_ACTIVE*O$55</f>
        <v>0</v>
      </c>
      <c r="P87" s="17">
        <f>-IF(AND(P$58&gt;='CBA Inputs'!$F44,P$58&lt;='CBA Inputs'!$G44),'CBA Inputs'!$E44/('CBA Inputs'!$G44-'CBA Inputs'!$F44+1),0)*IF(P$58=0,0,1)*CapitalCost_ACTIVE*P$55</f>
        <v>0</v>
      </c>
      <c r="Q87" s="17">
        <f>-IF(AND(Q$58&gt;='CBA Inputs'!$F44,Q$58&lt;='CBA Inputs'!$G44),'CBA Inputs'!$E44/('CBA Inputs'!$G44-'CBA Inputs'!$F44+1),0)*IF(Q$58=0,0,1)*CapitalCost_ACTIVE*Q$55</f>
        <v>0</v>
      </c>
      <c r="R87" s="17">
        <f>-IF(AND(R$58&gt;='CBA Inputs'!$F44,R$58&lt;='CBA Inputs'!$G44),'CBA Inputs'!$E44/('CBA Inputs'!$G44-'CBA Inputs'!$F44+1),0)*IF(R$58=0,0,1)*CapitalCost_ACTIVE*R$55</f>
        <v>0</v>
      </c>
      <c r="S87" s="17">
        <f>-IF(AND(S$58&gt;='CBA Inputs'!$F44,S$58&lt;='CBA Inputs'!$G44),'CBA Inputs'!$E44/('CBA Inputs'!$G44-'CBA Inputs'!$F44+1),0)*IF(S$58=0,0,1)*CapitalCost_ACTIVE*S$55</f>
        <v>0</v>
      </c>
      <c r="T87" s="17">
        <f>-IF(AND(T$58&gt;='CBA Inputs'!$F44,T$58&lt;='CBA Inputs'!$G44),'CBA Inputs'!$E44/('CBA Inputs'!$G44-'CBA Inputs'!$F44+1),0)*IF(T$58=0,0,1)*CapitalCost_ACTIVE*T$55</f>
        <v>0</v>
      </c>
      <c r="U87" s="17">
        <f>-IF(AND(U$58&gt;='CBA Inputs'!$F44,U$58&lt;='CBA Inputs'!$G44),'CBA Inputs'!$E44/('CBA Inputs'!$G44-'CBA Inputs'!$F44+1),0)*IF(U$58=0,0,1)*CapitalCost_ACTIVE*U$55</f>
        <v>0</v>
      </c>
      <c r="V87" s="17">
        <f>-IF(AND(V$58&gt;='CBA Inputs'!$F44,V$58&lt;='CBA Inputs'!$G44),'CBA Inputs'!$E44/('CBA Inputs'!$G44-'CBA Inputs'!$F44+1),0)*IF(V$58=0,0,1)*CapitalCost_ACTIVE*V$55</f>
        <v>0</v>
      </c>
      <c r="W87" s="17">
        <f>-IF(AND(W$58&gt;='CBA Inputs'!$F44,W$58&lt;='CBA Inputs'!$G44),'CBA Inputs'!$E44/('CBA Inputs'!$G44-'CBA Inputs'!$F44+1),0)*IF(W$58=0,0,1)*CapitalCost_ACTIVE*W$55</f>
        <v>0</v>
      </c>
      <c r="X87" s="17">
        <f>-IF(AND(X$58&gt;='CBA Inputs'!$F44,X$58&lt;='CBA Inputs'!$G44),'CBA Inputs'!$E44/('CBA Inputs'!$G44-'CBA Inputs'!$F44+1),0)*IF(X$58=0,0,1)*CapitalCost_ACTIVE*X$55</f>
        <v>0</v>
      </c>
      <c r="Y87" s="17">
        <f>-IF(AND(Y$58&gt;='CBA Inputs'!$F44,Y$58&lt;='CBA Inputs'!$G44),'CBA Inputs'!$E44/('CBA Inputs'!$G44-'CBA Inputs'!$F44+1),0)*IF(Y$58=0,0,1)*CapitalCost_ACTIVE*Y$55</f>
        <v>0</v>
      </c>
      <c r="Z87" s="17">
        <f>-IF(AND(Z$58&gt;='CBA Inputs'!$F44,Z$58&lt;='CBA Inputs'!$G44),'CBA Inputs'!$E44/('CBA Inputs'!$G44-'CBA Inputs'!$F44+1),0)*IF(Z$58=0,0,1)*CapitalCost_ACTIVE*Z$55</f>
        <v>0</v>
      </c>
      <c r="AA87" s="17">
        <f>-IF(AND(AA$58&gt;='CBA Inputs'!$F44,AA$58&lt;='CBA Inputs'!$G44),'CBA Inputs'!$E44/('CBA Inputs'!$G44-'CBA Inputs'!$F44+1),0)*IF(AA$58=0,0,1)*CapitalCost_ACTIVE*AA$55</f>
        <v>0</v>
      </c>
      <c r="AB87" s="17">
        <f>-IF(AND(AB$58&gt;='CBA Inputs'!$F44,AB$58&lt;='CBA Inputs'!$G44),'CBA Inputs'!$E44/('CBA Inputs'!$G44-'CBA Inputs'!$F44+1),0)*IF(AB$58=0,0,1)*CapitalCost_ACTIVE*AB$55</f>
        <v>0</v>
      </c>
      <c r="AC87" s="17">
        <f>-IF(AND(AC$58&gt;='CBA Inputs'!$F44,AC$58&lt;='CBA Inputs'!$G44),'CBA Inputs'!$E44/('CBA Inputs'!$G44-'CBA Inputs'!$F44+1),0)*IF(AC$58=0,0,1)*CapitalCost_ACTIVE*AC$55</f>
        <v>0</v>
      </c>
      <c r="AD87" s="17">
        <f>-IF(AND(AD$58&gt;='CBA Inputs'!$F44,AD$58&lt;='CBA Inputs'!$G44),'CBA Inputs'!$E44/('CBA Inputs'!$G44-'CBA Inputs'!$F44+1),0)*IF(AD$58=0,0,1)*CapitalCost_ACTIVE*AD$55</f>
        <v>0</v>
      </c>
      <c r="AE87" s="17">
        <f>-IF(AND(AE$58&gt;='CBA Inputs'!$F44,AE$58&lt;='CBA Inputs'!$G44),'CBA Inputs'!$E44/('CBA Inputs'!$G44-'CBA Inputs'!$F44+1),0)*IF(AE$58=0,0,1)*CapitalCost_ACTIVE*AE$55</f>
        <v>0</v>
      </c>
      <c r="AF87" s="17">
        <f>-IF(AND(AF$58&gt;='CBA Inputs'!$F44,AF$58&lt;='CBA Inputs'!$G44),'CBA Inputs'!$E44/('CBA Inputs'!$G44-'CBA Inputs'!$F44+1),0)*IF(AF$58=0,0,1)*CapitalCost_ACTIVE*AF$55</f>
        <v>0</v>
      </c>
      <c r="AG87" s="17">
        <f>-IF(AND(AG$58&gt;='CBA Inputs'!$F44,AG$58&lt;='CBA Inputs'!$G44),'CBA Inputs'!$E44/('CBA Inputs'!$G44-'CBA Inputs'!$F44+1),0)*IF(AG$58=0,0,1)*CapitalCost_ACTIVE*AG$55</f>
        <v>0</v>
      </c>
      <c r="AH87" s="17">
        <f>-IF(AND(AH$58&gt;='CBA Inputs'!$F44,AH$58&lt;='CBA Inputs'!$G44),'CBA Inputs'!$E44/('CBA Inputs'!$G44-'CBA Inputs'!$F44+1),0)*IF(AH$58=0,0,1)*CapitalCost_ACTIVE*AH$55</f>
        <v>0</v>
      </c>
      <c r="AI87" s="17">
        <f>-IF(AND(AI$58&gt;='CBA Inputs'!$F44,AI$58&lt;='CBA Inputs'!$G44),'CBA Inputs'!$E44/('CBA Inputs'!$G44-'CBA Inputs'!$F44+1),0)*IF(AI$58=0,0,1)*CapitalCost_ACTIVE*AI$55</f>
        <v>0</v>
      </c>
      <c r="AJ87" s="17">
        <f>-IF(AND(AJ$58&gt;='CBA Inputs'!$F44,AJ$58&lt;='CBA Inputs'!$G44),'CBA Inputs'!$E44/('CBA Inputs'!$G44-'CBA Inputs'!$F44+1),0)*IF(AJ$58=0,0,1)*CapitalCost_ACTIVE*AJ$55</f>
        <v>0</v>
      </c>
      <c r="AK87" s="178">
        <f>IFERROR(PMT(DiscountRate_ACTIVE,'CBA Inputs'!I44,'CBA Inputs'!E44),0)</f>
        <v>-21395664.883854557</v>
      </c>
      <c r="AM87" s="24" t="str">
        <f>'CBA Inputs'!L44</f>
        <v/>
      </c>
      <c r="AN87" s="24">
        <f>'CBA Inputs'!M44</f>
        <v>0</v>
      </c>
      <c r="AO87" s="24">
        <f>'CBA Inputs'!N44</f>
        <v>0</v>
      </c>
      <c r="AP87" s="12" t="s">
        <v>35</v>
      </c>
      <c r="AQ87" s="18">
        <f t="shared" si="29"/>
        <v>0</v>
      </c>
      <c r="AR87" s="17">
        <f>-IF(AND(G$58&gt;='CBA Inputs'!$P44,G$58&lt;='CBA Inputs'!$Q44),'CBA Inputs'!$O44/('CBA Inputs'!$Q44-'CBA Inputs'!$P44+1),0)*IF(G$58=0,0,1)*CapitalCost_ACTIVE*G$55*IF(Scenario_Select='CBA Inputs'!$T44,1,0)</f>
        <v>0</v>
      </c>
      <c r="AS87" s="17">
        <f>-IF(AND(H$58&gt;='CBA Inputs'!$P44,H$58&lt;='CBA Inputs'!$Q44),'CBA Inputs'!$O44/('CBA Inputs'!$Q44-'CBA Inputs'!$P44+1),0)*IF(H$58=0,0,1)*CapitalCost_ACTIVE*H$55*IF(Scenario_Select='CBA Inputs'!$T44,1,0)</f>
        <v>0</v>
      </c>
      <c r="AT87" s="17">
        <f>-IF(AND(I$58&gt;='CBA Inputs'!$P44,I$58&lt;='CBA Inputs'!$Q44),'CBA Inputs'!$O44/('CBA Inputs'!$Q44-'CBA Inputs'!$P44+1),0)*IF(I$58=0,0,1)*CapitalCost_ACTIVE*I$55*IF(Scenario_Select='CBA Inputs'!$T44,1,0)</f>
        <v>0</v>
      </c>
      <c r="AU87" s="17">
        <f>-IF(AND(J$58&gt;='CBA Inputs'!$P44,J$58&lt;='CBA Inputs'!$Q44),'CBA Inputs'!$O44/('CBA Inputs'!$Q44-'CBA Inputs'!$P44+1),0)*IF(J$58=0,0,1)*CapitalCost_ACTIVE*J$55*IF(Scenario_Select='CBA Inputs'!$T44,1,0)</f>
        <v>0</v>
      </c>
      <c r="AV87" s="17">
        <f>-IF(AND(K$58&gt;='CBA Inputs'!$P44,K$58&lt;='CBA Inputs'!$Q44),'CBA Inputs'!$O44/('CBA Inputs'!$Q44-'CBA Inputs'!$P44+1),0)*IF(K$58=0,0,1)*CapitalCost_ACTIVE*K$55*IF(Scenario_Select='CBA Inputs'!$T44,1,0)</f>
        <v>0</v>
      </c>
      <c r="AW87" s="17">
        <f>-IF(AND(L$58&gt;='CBA Inputs'!$P44,L$58&lt;='CBA Inputs'!$Q44),'CBA Inputs'!$O44/('CBA Inputs'!$Q44-'CBA Inputs'!$P44+1),0)*IF(L$58=0,0,1)*CapitalCost_ACTIVE*L$55*IF(Scenario_Select='CBA Inputs'!$T44,1,0)</f>
        <v>0</v>
      </c>
      <c r="AX87" s="17">
        <f>-IF(AND(M$58&gt;='CBA Inputs'!$P44,M$58&lt;='CBA Inputs'!$Q44),'CBA Inputs'!$O44/('CBA Inputs'!$Q44-'CBA Inputs'!$P44+1),0)*IF(M$58=0,0,1)*CapitalCost_ACTIVE*M$55*IF(Scenario_Select='CBA Inputs'!$T44,1,0)</f>
        <v>0</v>
      </c>
      <c r="AY87" s="17">
        <f>-IF(AND(N$58&gt;='CBA Inputs'!$P44,N$58&lt;='CBA Inputs'!$Q44),'CBA Inputs'!$O44/('CBA Inputs'!$Q44-'CBA Inputs'!$P44+1),0)*IF(N$58=0,0,1)*CapitalCost_ACTIVE*N$55*IF(Scenario_Select='CBA Inputs'!$T44,1,0)</f>
        <v>0</v>
      </c>
      <c r="AZ87" s="17">
        <f>-IF(AND(O$58&gt;='CBA Inputs'!$P44,O$58&lt;='CBA Inputs'!$Q44),'CBA Inputs'!$O44/('CBA Inputs'!$Q44-'CBA Inputs'!$P44+1),0)*IF(O$58=0,0,1)*CapitalCost_ACTIVE*O$55*IF(Scenario_Select='CBA Inputs'!$T44,1,0)</f>
        <v>0</v>
      </c>
      <c r="BA87" s="17">
        <f>-IF(AND(P$58&gt;='CBA Inputs'!$P44,P$58&lt;='CBA Inputs'!$Q44),'CBA Inputs'!$O44/('CBA Inputs'!$Q44-'CBA Inputs'!$P44+1),0)*IF(P$58=0,0,1)*CapitalCost_ACTIVE*P$55*IF(Scenario_Select='CBA Inputs'!$T44,1,0)</f>
        <v>0</v>
      </c>
      <c r="BB87" s="17">
        <f>-IF(AND(Q$58&gt;='CBA Inputs'!$P44,Q$58&lt;='CBA Inputs'!$Q44),'CBA Inputs'!$O44/('CBA Inputs'!$Q44-'CBA Inputs'!$P44+1),0)*IF(Q$58=0,0,1)*CapitalCost_ACTIVE*Q$55*IF(Scenario_Select='CBA Inputs'!$T44,1,0)</f>
        <v>0</v>
      </c>
      <c r="BC87" s="17">
        <f>-IF(AND(R$58&gt;='CBA Inputs'!$P44,R$58&lt;='CBA Inputs'!$Q44),'CBA Inputs'!$O44/('CBA Inputs'!$Q44-'CBA Inputs'!$P44+1),0)*IF(R$58=0,0,1)*CapitalCost_ACTIVE*R$55*IF(Scenario_Select='CBA Inputs'!$T44,1,0)</f>
        <v>0</v>
      </c>
      <c r="BD87" s="17">
        <f>-IF(AND(S$58&gt;='CBA Inputs'!$P44,S$58&lt;='CBA Inputs'!$Q44),'CBA Inputs'!$O44/('CBA Inputs'!$Q44-'CBA Inputs'!$P44+1),0)*IF(S$58=0,0,1)*CapitalCost_ACTIVE*S$55*IF(Scenario_Select='CBA Inputs'!$T44,1,0)</f>
        <v>0</v>
      </c>
      <c r="BE87" s="17">
        <f>-IF(AND(T$58&gt;='CBA Inputs'!$P44,T$58&lt;='CBA Inputs'!$Q44),'CBA Inputs'!$O44/('CBA Inputs'!$Q44-'CBA Inputs'!$P44+1),0)*IF(T$58=0,0,1)*CapitalCost_ACTIVE*T$55*IF(Scenario_Select='CBA Inputs'!$T44,1,0)</f>
        <v>0</v>
      </c>
      <c r="BF87" s="17">
        <f>-IF(AND(U$58&gt;='CBA Inputs'!$P44,U$58&lt;='CBA Inputs'!$Q44),'CBA Inputs'!$O44/('CBA Inputs'!$Q44-'CBA Inputs'!$P44+1),0)*IF(U$58=0,0,1)*CapitalCost_ACTIVE*U$55*IF(Scenario_Select='CBA Inputs'!$T44,1,0)</f>
        <v>0</v>
      </c>
      <c r="BG87" s="17">
        <f>-IF(AND(V$58&gt;='CBA Inputs'!$P44,V$58&lt;='CBA Inputs'!$Q44),'CBA Inputs'!$O44/('CBA Inputs'!$Q44-'CBA Inputs'!$P44+1),0)*IF(V$58=0,0,1)*CapitalCost_ACTIVE*V$55*IF(Scenario_Select='CBA Inputs'!$T44,1,0)</f>
        <v>0</v>
      </c>
      <c r="BH87" s="17">
        <f>-IF(AND(W$58&gt;='CBA Inputs'!$P44,W$58&lt;='CBA Inputs'!$Q44),'CBA Inputs'!$O44/('CBA Inputs'!$Q44-'CBA Inputs'!$P44+1),0)*IF(W$58=0,0,1)*CapitalCost_ACTIVE*W$55*IF(Scenario_Select='CBA Inputs'!$T44,1,0)</f>
        <v>0</v>
      </c>
      <c r="BI87" s="17">
        <f>-IF(AND(X$58&gt;='CBA Inputs'!$P44,X$58&lt;='CBA Inputs'!$Q44),'CBA Inputs'!$O44/('CBA Inputs'!$Q44-'CBA Inputs'!$P44+1),0)*IF(X$58=0,0,1)*CapitalCost_ACTIVE*X$55*IF(Scenario_Select='CBA Inputs'!$T44,1,0)</f>
        <v>0</v>
      </c>
      <c r="BJ87" s="17">
        <f>-IF(AND(Y$58&gt;='CBA Inputs'!$P44,Y$58&lt;='CBA Inputs'!$Q44),'CBA Inputs'!$O44/('CBA Inputs'!$Q44-'CBA Inputs'!$P44+1),0)*IF(Y$58=0,0,1)*CapitalCost_ACTIVE*Y$55*IF(Scenario_Select='CBA Inputs'!$T44,1,0)</f>
        <v>0</v>
      </c>
      <c r="BK87" s="17">
        <f>-IF(AND(Z$58&gt;='CBA Inputs'!$P44,Z$58&lt;='CBA Inputs'!$Q44),'CBA Inputs'!$O44/('CBA Inputs'!$Q44-'CBA Inputs'!$P44+1),0)*IF(Z$58=0,0,1)*CapitalCost_ACTIVE*Z$55*IF(Scenario_Select='CBA Inputs'!$T44,1,0)</f>
        <v>0</v>
      </c>
      <c r="BL87" s="17">
        <f>-IF(AND(AA$58&gt;='CBA Inputs'!$P44,AA$58&lt;='CBA Inputs'!$Q44),'CBA Inputs'!$O44/('CBA Inputs'!$Q44-'CBA Inputs'!$P44+1),0)*IF(AA$58=0,0,1)*CapitalCost_ACTIVE*AA$55*IF(Scenario_Select='CBA Inputs'!$T44,1,0)</f>
        <v>0</v>
      </c>
      <c r="BM87" s="17">
        <f>-IF(AND(AB$58&gt;='CBA Inputs'!$P44,AB$58&lt;='CBA Inputs'!$Q44),'CBA Inputs'!$O44/('CBA Inputs'!$Q44-'CBA Inputs'!$P44+1),0)*IF(AB$58=0,0,1)*CapitalCost_ACTIVE*AB$55*IF(Scenario_Select='CBA Inputs'!$T44,1,0)</f>
        <v>0</v>
      </c>
      <c r="BN87" s="17">
        <f>-IF(AND(AC$58&gt;='CBA Inputs'!$P44,AC$58&lt;='CBA Inputs'!$Q44),'CBA Inputs'!$O44/('CBA Inputs'!$Q44-'CBA Inputs'!$P44+1),0)*IF(AC$58=0,0,1)*CapitalCost_ACTIVE*AC$55*IF(Scenario_Select='CBA Inputs'!$T44,1,0)</f>
        <v>0</v>
      </c>
      <c r="BO87" s="17">
        <f>-IF(AND(AD$58&gt;='CBA Inputs'!$P44,AD$58&lt;='CBA Inputs'!$Q44),'CBA Inputs'!$O44/('CBA Inputs'!$Q44-'CBA Inputs'!$P44+1),0)*IF(AD$58=0,0,1)*CapitalCost_ACTIVE*AD$55*IF(Scenario_Select='CBA Inputs'!$T44,1,0)</f>
        <v>0</v>
      </c>
      <c r="BP87" s="17">
        <f>-IF(AND(AE$58&gt;='CBA Inputs'!$P44,AE$58&lt;='CBA Inputs'!$Q44),'CBA Inputs'!$O44/('CBA Inputs'!$Q44-'CBA Inputs'!$P44+1),0)*IF(AE$58=0,0,1)*CapitalCost_ACTIVE*AE$55*IF(Scenario_Select='CBA Inputs'!$T44,1,0)</f>
        <v>0</v>
      </c>
      <c r="BQ87" s="17">
        <f>-IF(AND(AF$58&gt;='CBA Inputs'!$P44,AF$58&lt;='CBA Inputs'!$Q44),'CBA Inputs'!$O44/('CBA Inputs'!$Q44-'CBA Inputs'!$P44+1),0)*IF(AF$58=0,0,1)*CapitalCost_ACTIVE*AF$55*IF(Scenario_Select='CBA Inputs'!$T44,1,0)</f>
        <v>0</v>
      </c>
      <c r="BR87" s="17">
        <f>-IF(AND(AG$58&gt;='CBA Inputs'!$P44,AG$58&lt;='CBA Inputs'!$Q44),'CBA Inputs'!$O44/('CBA Inputs'!$Q44-'CBA Inputs'!$P44+1),0)*IF(AG$58=0,0,1)*CapitalCost_ACTIVE*AG$55*IF(Scenario_Select='CBA Inputs'!$T44,1,0)</f>
        <v>0</v>
      </c>
      <c r="BS87" s="17">
        <f>-IF(AND(AH$58&gt;='CBA Inputs'!$P44,AH$58&lt;='CBA Inputs'!$Q44),'CBA Inputs'!$O44/('CBA Inputs'!$Q44-'CBA Inputs'!$P44+1),0)*IF(AH$58=0,0,1)*CapitalCost_ACTIVE*AH$55*IF(Scenario_Select='CBA Inputs'!$T44,1,0)</f>
        <v>0</v>
      </c>
      <c r="BT87" s="17">
        <f>-IF(AND(AI$58&gt;='CBA Inputs'!$P44,AI$58&lt;='CBA Inputs'!$Q44),'CBA Inputs'!$O44/('CBA Inputs'!$Q44-'CBA Inputs'!$P44+1),0)*IF(AI$58=0,0,1)*CapitalCost_ACTIVE*AI$55*IF(Scenario_Select='CBA Inputs'!$T44,1,0)</f>
        <v>0</v>
      </c>
      <c r="BU87" s="17">
        <f>-IF(AND(AJ$58&gt;='CBA Inputs'!$P44,AJ$58&lt;='CBA Inputs'!$Q44),'CBA Inputs'!$O44/('CBA Inputs'!$Q44-'CBA Inputs'!$P44+1),0)*IF(AJ$58=0,0,1)*CapitalCost_ACTIVE*AJ$55*IF(Scenario_Select='CBA Inputs'!$T44,1,0)</f>
        <v>0</v>
      </c>
      <c r="BV87" s="178">
        <f>IFERROR(PMT(DiscountRate_ACTIVE,'CBA Inputs'!S44,'CBA Inputs'!O44),0)*IF(Scenario_Select='CBA Inputs'!$T44,1,0)</f>
        <v>0</v>
      </c>
    </row>
    <row r="88" spans="2:74" x14ac:dyDescent="0.35">
      <c r="B88" s="24">
        <f>+'CBA Inputs'!B45</f>
        <v>11</v>
      </c>
      <c r="C88" s="25" t="str">
        <f>+'CBA Inputs'!C45</f>
        <v>Option 4B</v>
      </c>
      <c r="D88" s="25" t="str">
        <f>'CBA Inputs'!D45</f>
        <v>Substation</v>
      </c>
      <c r="E88" s="12" t="s">
        <v>35</v>
      </c>
      <c r="F88" s="18">
        <f t="shared" si="28"/>
        <v>-8198902.1119210608</v>
      </c>
      <c r="G88" s="17">
        <f>-IF(AND(G$58&gt;='CBA Inputs'!$F45,G$58&lt;='CBA Inputs'!$G45),'CBA Inputs'!$E45/('CBA Inputs'!$G45-'CBA Inputs'!$F45+1),0)*IF(G$58=0,0,1)*CapitalCost_ACTIVE*G$55</f>
        <v>0</v>
      </c>
      <c r="H88" s="17">
        <f>-IF(AND(H$58&gt;='CBA Inputs'!$F45,H$58&lt;='CBA Inputs'!$G45),'CBA Inputs'!$E45/('CBA Inputs'!$G45-'CBA Inputs'!$F45+1),0)*IF(H$58=0,0,1)*CapitalCost_ACTIVE*H$55</f>
        <v>0</v>
      </c>
      <c r="I88" s="17">
        <f>-IF(AND(I$58&gt;='CBA Inputs'!$F45,I$58&lt;='CBA Inputs'!$G45),'CBA Inputs'!$E45/('CBA Inputs'!$G45-'CBA Inputs'!$F45+1),0)*IF(I$58=0,0,1)*CapitalCost_ACTIVE*I$55</f>
        <v>-2500000</v>
      </c>
      <c r="J88" s="17">
        <f>-IF(AND(J$58&gt;='CBA Inputs'!$F45,J$58&lt;='CBA Inputs'!$G45),'CBA Inputs'!$E45/('CBA Inputs'!$G45-'CBA Inputs'!$F45+1),0)*IF(J$58=0,0,1)*CapitalCost_ACTIVE*J$55</f>
        <v>-2500000</v>
      </c>
      <c r="K88" s="17">
        <f>-IF(AND(K$58&gt;='CBA Inputs'!$F45,K$58&lt;='CBA Inputs'!$G45),'CBA Inputs'!$E45/('CBA Inputs'!$G45-'CBA Inputs'!$F45+1),0)*IF(K$58=0,0,1)*CapitalCost_ACTIVE*K$55</f>
        <v>-2500000</v>
      </c>
      <c r="L88" s="17">
        <f>-IF(AND(L$58&gt;='CBA Inputs'!$F45,L$58&lt;='CBA Inputs'!$G45),'CBA Inputs'!$E45/('CBA Inputs'!$G45-'CBA Inputs'!$F45+1),0)*IF(L$58=0,0,1)*CapitalCost_ACTIVE*L$55</f>
        <v>-2500000</v>
      </c>
      <c r="M88" s="17">
        <f>-IF(AND(M$58&gt;='CBA Inputs'!$F45,M$58&lt;='CBA Inputs'!$G45),'CBA Inputs'!$E45/('CBA Inputs'!$G45-'CBA Inputs'!$F45+1),0)*IF(M$58=0,0,1)*CapitalCost_ACTIVE*M$55</f>
        <v>0</v>
      </c>
      <c r="N88" s="17">
        <f>-IF(AND(N$58&gt;='CBA Inputs'!$F45,N$58&lt;='CBA Inputs'!$G45),'CBA Inputs'!$E45/('CBA Inputs'!$G45-'CBA Inputs'!$F45+1),0)*IF(N$58=0,0,1)*CapitalCost_ACTIVE*N$55</f>
        <v>0</v>
      </c>
      <c r="O88" s="17">
        <f>-IF(AND(O$58&gt;='CBA Inputs'!$F45,O$58&lt;='CBA Inputs'!$G45),'CBA Inputs'!$E45/('CBA Inputs'!$G45-'CBA Inputs'!$F45+1),0)*IF(O$58=0,0,1)*CapitalCost_ACTIVE*O$55</f>
        <v>0</v>
      </c>
      <c r="P88" s="17">
        <f>-IF(AND(P$58&gt;='CBA Inputs'!$F45,P$58&lt;='CBA Inputs'!$G45),'CBA Inputs'!$E45/('CBA Inputs'!$G45-'CBA Inputs'!$F45+1),0)*IF(P$58=0,0,1)*CapitalCost_ACTIVE*P$55</f>
        <v>0</v>
      </c>
      <c r="Q88" s="17">
        <f>-IF(AND(Q$58&gt;='CBA Inputs'!$F45,Q$58&lt;='CBA Inputs'!$G45),'CBA Inputs'!$E45/('CBA Inputs'!$G45-'CBA Inputs'!$F45+1),0)*IF(Q$58=0,0,1)*CapitalCost_ACTIVE*Q$55</f>
        <v>0</v>
      </c>
      <c r="R88" s="17">
        <f>-IF(AND(R$58&gt;='CBA Inputs'!$F45,R$58&lt;='CBA Inputs'!$G45),'CBA Inputs'!$E45/('CBA Inputs'!$G45-'CBA Inputs'!$F45+1),0)*IF(R$58=0,0,1)*CapitalCost_ACTIVE*R$55</f>
        <v>0</v>
      </c>
      <c r="S88" s="17">
        <f>-IF(AND(S$58&gt;='CBA Inputs'!$F45,S$58&lt;='CBA Inputs'!$G45),'CBA Inputs'!$E45/('CBA Inputs'!$G45-'CBA Inputs'!$F45+1),0)*IF(S$58=0,0,1)*CapitalCost_ACTIVE*S$55</f>
        <v>0</v>
      </c>
      <c r="T88" s="17">
        <f>-IF(AND(T$58&gt;='CBA Inputs'!$F45,T$58&lt;='CBA Inputs'!$G45),'CBA Inputs'!$E45/('CBA Inputs'!$G45-'CBA Inputs'!$F45+1),0)*IF(T$58=0,0,1)*CapitalCost_ACTIVE*T$55</f>
        <v>0</v>
      </c>
      <c r="U88" s="17">
        <f>-IF(AND(U$58&gt;='CBA Inputs'!$F45,U$58&lt;='CBA Inputs'!$G45),'CBA Inputs'!$E45/('CBA Inputs'!$G45-'CBA Inputs'!$F45+1),0)*IF(U$58=0,0,1)*CapitalCost_ACTIVE*U$55</f>
        <v>0</v>
      </c>
      <c r="V88" s="17">
        <f>-IF(AND(V$58&gt;='CBA Inputs'!$F45,V$58&lt;='CBA Inputs'!$G45),'CBA Inputs'!$E45/('CBA Inputs'!$G45-'CBA Inputs'!$F45+1),0)*IF(V$58=0,0,1)*CapitalCost_ACTIVE*V$55</f>
        <v>0</v>
      </c>
      <c r="W88" s="17">
        <f>-IF(AND(W$58&gt;='CBA Inputs'!$F45,W$58&lt;='CBA Inputs'!$G45),'CBA Inputs'!$E45/('CBA Inputs'!$G45-'CBA Inputs'!$F45+1),0)*IF(W$58=0,0,1)*CapitalCost_ACTIVE*W$55</f>
        <v>0</v>
      </c>
      <c r="X88" s="17">
        <f>-IF(AND(X$58&gt;='CBA Inputs'!$F45,X$58&lt;='CBA Inputs'!$G45),'CBA Inputs'!$E45/('CBA Inputs'!$G45-'CBA Inputs'!$F45+1),0)*IF(X$58=0,0,1)*CapitalCost_ACTIVE*X$55</f>
        <v>0</v>
      </c>
      <c r="Y88" s="17">
        <f>-IF(AND(Y$58&gt;='CBA Inputs'!$F45,Y$58&lt;='CBA Inputs'!$G45),'CBA Inputs'!$E45/('CBA Inputs'!$G45-'CBA Inputs'!$F45+1),0)*IF(Y$58=0,0,1)*CapitalCost_ACTIVE*Y$55</f>
        <v>0</v>
      </c>
      <c r="Z88" s="17">
        <f>-IF(AND(Z$58&gt;='CBA Inputs'!$F45,Z$58&lt;='CBA Inputs'!$G45),'CBA Inputs'!$E45/('CBA Inputs'!$G45-'CBA Inputs'!$F45+1),0)*IF(Z$58=0,0,1)*CapitalCost_ACTIVE*Z$55</f>
        <v>0</v>
      </c>
      <c r="AA88" s="17">
        <f>-IF(AND(AA$58&gt;='CBA Inputs'!$F45,AA$58&lt;='CBA Inputs'!$G45),'CBA Inputs'!$E45/('CBA Inputs'!$G45-'CBA Inputs'!$F45+1),0)*IF(AA$58=0,0,1)*CapitalCost_ACTIVE*AA$55</f>
        <v>0</v>
      </c>
      <c r="AB88" s="17">
        <f>-IF(AND(AB$58&gt;='CBA Inputs'!$F45,AB$58&lt;='CBA Inputs'!$G45),'CBA Inputs'!$E45/('CBA Inputs'!$G45-'CBA Inputs'!$F45+1),0)*IF(AB$58=0,0,1)*CapitalCost_ACTIVE*AB$55</f>
        <v>0</v>
      </c>
      <c r="AC88" s="17">
        <f>-IF(AND(AC$58&gt;='CBA Inputs'!$F45,AC$58&lt;='CBA Inputs'!$G45),'CBA Inputs'!$E45/('CBA Inputs'!$G45-'CBA Inputs'!$F45+1),0)*IF(AC$58=0,0,1)*CapitalCost_ACTIVE*AC$55</f>
        <v>0</v>
      </c>
      <c r="AD88" s="17">
        <f>-IF(AND(AD$58&gt;='CBA Inputs'!$F45,AD$58&lt;='CBA Inputs'!$G45),'CBA Inputs'!$E45/('CBA Inputs'!$G45-'CBA Inputs'!$F45+1),0)*IF(AD$58=0,0,1)*CapitalCost_ACTIVE*AD$55</f>
        <v>0</v>
      </c>
      <c r="AE88" s="17">
        <f>-IF(AND(AE$58&gt;='CBA Inputs'!$F45,AE$58&lt;='CBA Inputs'!$G45),'CBA Inputs'!$E45/('CBA Inputs'!$G45-'CBA Inputs'!$F45+1),0)*IF(AE$58=0,0,1)*CapitalCost_ACTIVE*AE$55</f>
        <v>0</v>
      </c>
      <c r="AF88" s="17">
        <f>-IF(AND(AF$58&gt;='CBA Inputs'!$F45,AF$58&lt;='CBA Inputs'!$G45),'CBA Inputs'!$E45/('CBA Inputs'!$G45-'CBA Inputs'!$F45+1),0)*IF(AF$58=0,0,1)*CapitalCost_ACTIVE*AF$55</f>
        <v>0</v>
      </c>
      <c r="AG88" s="17">
        <f>-IF(AND(AG$58&gt;='CBA Inputs'!$F45,AG$58&lt;='CBA Inputs'!$G45),'CBA Inputs'!$E45/('CBA Inputs'!$G45-'CBA Inputs'!$F45+1),0)*IF(AG$58=0,0,1)*CapitalCost_ACTIVE*AG$55</f>
        <v>0</v>
      </c>
      <c r="AH88" s="17">
        <f>-IF(AND(AH$58&gt;='CBA Inputs'!$F45,AH$58&lt;='CBA Inputs'!$G45),'CBA Inputs'!$E45/('CBA Inputs'!$G45-'CBA Inputs'!$F45+1),0)*IF(AH$58=0,0,1)*CapitalCost_ACTIVE*AH$55</f>
        <v>0</v>
      </c>
      <c r="AI88" s="17">
        <f>-IF(AND(AI$58&gt;='CBA Inputs'!$F45,AI$58&lt;='CBA Inputs'!$G45),'CBA Inputs'!$E45/('CBA Inputs'!$G45-'CBA Inputs'!$F45+1),0)*IF(AI$58=0,0,1)*CapitalCost_ACTIVE*AI$55</f>
        <v>0</v>
      </c>
      <c r="AJ88" s="17">
        <f>-IF(AND(AJ$58&gt;='CBA Inputs'!$F45,AJ$58&lt;='CBA Inputs'!$G45),'CBA Inputs'!$E45/('CBA Inputs'!$G45-'CBA Inputs'!$F45+1),0)*IF(AJ$58=0,0,1)*CapitalCost_ACTIVE*AJ$55</f>
        <v>0</v>
      </c>
      <c r="AK88" s="178">
        <f>IFERROR(PMT(DiscountRate_ACTIVE,'CBA Inputs'!I45,'CBA Inputs'!E45),0)</f>
        <v>-656257.64088437625</v>
      </c>
      <c r="AM88" s="24" t="str">
        <f>'CBA Inputs'!L45</f>
        <v/>
      </c>
      <c r="AN88" s="24">
        <f>'CBA Inputs'!M45</f>
        <v>0</v>
      </c>
      <c r="AO88" s="24">
        <f>'CBA Inputs'!N45</f>
        <v>0</v>
      </c>
      <c r="AP88" s="12" t="s">
        <v>35</v>
      </c>
      <c r="AQ88" s="18">
        <f t="shared" si="29"/>
        <v>0</v>
      </c>
      <c r="AR88" s="17">
        <f>-IF(AND(G$58&gt;='CBA Inputs'!$P45,G$58&lt;='CBA Inputs'!$Q45),'CBA Inputs'!$O45/('CBA Inputs'!$Q45-'CBA Inputs'!$P45+1),0)*IF(G$58=0,0,1)*CapitalCost_ACTIVE*G$55*IF(Scenario_Select='CBA Inputs'!$T45,1,0)</f>
        <v>0</v>
      </c>
      <c r="AS88" s="17">
        <f>-IF(AND(H$58&gt;='CBA Inputs'!$P45,H$58&lt;='CBA Inputs'!$Q45),'CBA Inputs'!$O45/('CBA Inputs'!$Q45-'CBA Inputs'!$P45+1),0)*IF(H$58=0,0,1)*CapitalCost_ACTIVE*H$55*IF(Scenario_Select='CBA Inputs'!$T45,1,0)</f>
        <v>0</v>
      </c>
      <c r="AT88" s="17">
        <f>-IF(AND(I$58&gt;='CBA Inputs'!$P45,I$58&lt;='CBA Inputs'!$Q45),'CBA Inputs'!$O45/('CBA Inputs'!$Q45-'CBA Inputs'!$P45+1),0)*IF(I$58=0,0,1)*CapitalCost_ACTIVE*I$55*IF(Scenario_Select='CBA Inputs'!$T45,1,0)</f>
        <v>0</v>
      </c>
      <c r="AU88" s="17">
        <f>-IF(AND(J$58&gt;='CBA Inputs'!$P45,J$58&lt;='CBA Inputs'!$Q45),'CBA Inputs'!$O45/('CBA Inputs'!$Q45-'CBA Inputs'!$P45+1),0)*IF(J$58=0,0,1)*CapitalCost_ACTIVE*J$55*IF(Scenario_Select='CBA Inputs'!$T45,1,0)</f>
        <v>0</v>
      </c>
      <c r="AV88" s="17">
        <f>-IF(AND(K$58&gt;='CBA Inputs'!$P45,K$58&lt;='CBA Inputs'!$Q45),'CBA Inputs'!$O45/('CBA Inputs'!$Q45-'CBA Inputs'!$P45+1),0)*IF(K$58=0,0,1)*CapitalCost_ACTIVE*K$55*IF(Scenario_Select='CBA Inputs'!$T45,1,0)</f>
        <v>0</v>
      </c>
      <c r="AW88" s="17">
        <f>-IF(AND(L$58&gt;='CBA Inputs'!$P45,L$58&lt;='CBA Inputs'!$Q45),'CBA Inputs'!$O45/('CBA Inputs'!$Q45-'CBA Inputs'!$P45+1),0)*IF(L$58=0,0,1)*CapitalCost_ACTIVE*L$55*IF(Scenario_Select='CBA Inputs'!$T45,1,0)</f>
        <v>0</v>
      </c>
      <c r="AX88" s="17">
        <f>-IF(AND(M$58&gt;='CBA Inputs'!$P45,M$58&lt;='CBA Inputs'!$Q45),'CBA Inputs'!$O45/('CBA Inputs'!$Q45-'CBA Inputs'!$P45+1),0)*IF(M$58=0,0,1)*CapitalCost_ACTIVE*M$55*IF(Scenario_Select='CBA Inputs'!$T45,1,0)</f>
        <v>0</v>
      </c>
      <c r="AY88" s="17">
        <f>-IF(AND(N$58&gt;='CBA Inputs'!$P45,N$58&lt;='CBA Inputs'!$Q45),'CBA Inputs'!$O45/('CBA Inputs'!$Q45-'CBA Inputs'!$P45+1),0)*IF(N$58=0,0,1)*CapitalCost_ACTIVE*N$55*IF(Scenario_Select='CBA Inputs'!$T45,1,0)</f>
        <v>0</v>
      </c>
      <c r="AZ88" s="17">
        <f>-IF(AND(O$58&gt;='CBA Inputs'!$P45,O$58&lt;='CBA Inputs'!$Q45),'CBA Inputs'!$O45/('CBA Inputs'!$Q45-'CBA Inputs'!$P45+1),0)*IF(O$58=0,0,1)*CapitalCost_ACTIVE*O$55*IF(Scenario_Select='CBA Inputs'!$T45,1,0)</f>
        <v>0</v>
      </c>
      <c r="BA88" s="17">
        <f>-IF(AND(P$58&gt;='CBA Inputs'!$P45,P$58&lt;='CBA Inputs'!$Q45),'CBA Inputs'!$O45/('CBA Inputs'!$Q45-'CBA Inputs'!$P45+1),0)*IF(P$58=0,0,1)*CapitalCost_ACTIVE*P$55*IF(Scenario_Select='CBA Inputs'!$T45,1,0)</f>
        <v>0</v>
      </c>
      <c r="BB88" s="17">
        <f>-IF(AND(Q$58&gt;='CBA Inputs'!$P45,Q$58&lt;='CBA Inputs'!$Q45),'CBA Inputs'!$O45/('CBA Inputs'!$Q45-'CBA Inputs'!$P45+1),0)*IF(Q$58=0,0,1)*CapitalCost_ACTIVE*Q$55*IF(Scenario_Select='CBA Inputs'!$T45,1,0)</f>
        <v>0</v>
      </c>
      <c r="BC88" s="17">
        <f>-IF(AND(R$58&gt;='CBA Inputs'!$P45,R$58&lt;='CBA Inputs'!$Q45),'CBA Inputs'!$O45/('CBA Inputs'!$Q45-'CBA Inputs'!$P45+1),0)*IF(R$58=0,0,1)*CapitalCost_ACTIVE*R$55*IF(Scenario_Select='CBA Inputs'!$T45,1,0)</f>
        <v>0</v>
      </c>
      <c r="BD88" s="17">
        <f>-IF(AND(S$58&gt;='CBA Inputs'!$P45,S$58&lt;='CBA Inputs'!$Q45),'CBA Inputs'!$O45/('CBA Inputs'!$Q45-'CBA Inputs'!$P45+1),0)*IF(S$58=0,0,1)*CapitalCost_ACTIVE*S$55*IF(Scenario_Select='CBA Inputs'!$T45,1,0)</f>
        <v>0</v>
      </c>
      <c r="BE88" s="17">
        <f>-IF(AND(T$58&gt;='CBA Inputs'!$P45,T$58&lt;='CBA Inputs'!$Q45),'CBA Inputs'!$O45/('CBA Inputs'!$Q45-'CBA Inputs'!$P45+1),0)*IF(T$58=0,0,1)*CapitalCost_ACTIVE*T$55*IF(Scenario_Select='CBA Inputs'!$T45,1,0)</f>
        <v>0</v>
      </c>
      <c r="BF88" s="17">
        <f>-IF(AND(U$58&gt;='CBA Inputs'!$P45,U$58&lt;='CBA Inputs'!$Q45),'CBA Inputs'!$O45/('CBA Inputs'!$Q45-'CBA Inputs'!$P45+1),0)*IF(U$58=0,0,1)*CapitalCost_ACTIVE*U$55*IF(Scenario_Select='CBA Inputs'!$T45,1,0)</f>
        <v>0</v>
      </c>
      <c r="BG88" s="17">
        <f>-IF(AND(V$58&gt;='CBA Inputs'!$P45,V$58&lt;='CBA Inputs'!$Q45),'CBA Inputs'!$O45/('CBA Inputs'!$Q45-'CBA Inputs'!$P45+1),0)*IF(V$58=0,0,1)*CapitalCost_ACTIVE*V$55*IF(Scenario_Select='CBA Inputs'!$T45,1,0)</f>
        <v>0</v>
      </c>
      <c r="BH88" s="17">
        <f>-IF(AND(W$58&gt;='CBA Inputs'!$P45,W$58&lt;='CBA Inputs'!$Q45),'CBA Inputs'!$O45/('CBA Inputs'!$Q45-'CBA Inputs'!$P45+1),0)*IF(W$58=0,0,1)*CapitalCost_ACTIVE*W$55*IF(Scenario_Select='CBA Inputs'!$T45,1,0)</f>
        <v>0</v>
      </c>
      <c r="BI88" s="17">
        <f>-IF(AND(X$58&gt;='CBA Inputs'!$P45,X$58&lt;='CBA Inputs'!$Q45),'CBA Inputs'!$O45/('CBA Inputs'!$Q45-'CBA Inputs'!$P45+1),0)*IF(X$58=0,0,1)*CapitalCost_ACTIVE*X$55*IF(Scenario_Select='CBA Inputs'!$T45,1,0)</f>
        <v>0</v>
      </c>
      <c r="BJ88" s="17">
        <f>-IF(AND(Y$58&gt;='CBA Inputs'!$P45,Y$58&lt;='CBA Inputs'!$Q45),'CBA Inputs'!$O45/('CBA Inputs'!$Q45-'CBA Inputs'!$P45+1),0)*IF(Y$58=0,0,1)*CapitalCost_ACTIVE*Y$55*IF(Scenario_Select='CBA Inputs'!$T45,1,0)</f>
        <v>0</v>
      </c>
      <c r="BK88" s="17">
        <f>-IF(AND(Z$58&gt;='CBA Inputs'!$P45,Z$58&lt;='CBA Inputs'!$Q45),'CBA Inputs'!$O45/('CBA Inputs'!$Q45-'CBA Inputs'!$P45+1),0)*IF(Z$58=0,0,1)*CapitalCost_ACTIVE*Z$55*IF(Scenario_Select='CBA Inputs'!$T45,1,0)</f>
        <v>0</v>
      </c>
      <c r="BL88" s="17">
        <f>-IF(AND(AA$58&gt;='CBA Inputs'!$P45,AA$58&lt;='CBA Inputs'!$Q45),'CBA Inputs'!$O45/('CBA Inputs'!$Q45-'CBA Inputs'!$P45+1),0)*IF(AA$58=0,0,1)*CapitalCost_ACTIVE*AA$55*IF(Scenario_Select='CBA Inputs'!$T45,1,0)</f>
        <v>0</v>
      </c>
      <c r="BM88" s="17">
        <f>-IF(AND(AB$58&gt;='CBA Inputs'!$P45,AB$58&lt;='CBA Inputs'!$Q45),'CBA Inputs'!$O45/('CBA Inputs'!$Q45-'CBA Inputs'!$P45+1),0)*IF(AB$58=0,0,1)*CapitalCost_ACTIVE*AB$55*IF(Scenario_Select='CBA Inputs'!$T45,1,0)</f>
        <v>0</v>
      </c>
      <c r="BN88" s="17">
        <f>-IF(AND(AC$58&gt;='CBA Inputs'!$P45,AC$58&lt;='CBA Inputs'!$Q45),'CBA Inputs'!$O45/('CBA Inputs'!$Q45-'CBA Inputs'!$P45+1),0)*IF(AC$58=0,0,1)*CapitalCost_ACTIVE*AC$55*IF(Scenario_Select='CBA Inputs'!$T45,1,0)</f>
        <v>0</v>
      </c>
      <c r="BO88" s="17">
        <f>-IF(AND(AD$58&gt;='CBA Inputs'!$P45,AD$58&lt;='CBA Inputs'!$Q45),'CBA Inputs'!$O45/('CBA Inputs'!$Q45-'CBA Inputs'!$P45+1),0)*IF(AD$58=0,0,1)*CapitalCost_ACTIVE*AD$55*IF(Scenario_Select='CBA Inputs'!$T45,1,0)</f>
        <v>0</v>
      </c>
      <c r="BP88" s="17">
        <f>-IF(AND(AE$58&gt;='CBA Inputs'!$P45,AE$58&lt;='CBA Inputs'!$Q45),'CBA Inputs'!$O45/('CBA Inputs'!$Q45-'CBA Inputs'!$P45+1),0)*IF(AE$58=0,0,1)*CapitalCost_ACTIVE*AE$55*IF(Scenario_Select='CBA Inputs'!$T45,1,0)</f>
        <v>0</v>
      </c>
      <c r="BQ88" s="17">
        <f>-IF(AND(AF$58&gt;='CBA Inputs'!$P45,AF$58&lt;='CBA Inputs'!$Q45),'CBA Inputs'!$O45/('CBA Inputs'!$Q45-'CBA Inputs'!$P45+1),0)*IF(AF$58=0,0,1)*CapitalCost_ACTIVE*AF$55*IF(Scenario_Select='CBA Inputs'!$T45,1,0)</f>
        <v>0</v>
      </c>
      <c r="BR88" s="17">
        <f>-IF(AND(AG$58&gt;='CBA Inputs'!$P45,AG$58&lt;='CBA Inputs'!$Q45),'CBA Inputs'!$O45/('CBA Inputs'!$Q45-'CBA Inputs'!$P45+1),0)*IF(AG$58=0,0,1)*CapitalCost_ACTIVE*AG$55*IF(Scenario_Select='CBA Inputs'!$T45,1,0)</f>
        <v>0</v>
      </c>
      <c r="BS88" s="17">
        <f>-IF(AND(AH$58&gt;='CBA Inputs'!$P45,AH$58&lt;='CBA Inputs'!$Q45),'CBA Inputs'!$O45/('CBA Inputs'!$Q45-'CBA Inputs'!$P45+1),0)*IF(AH$58=0,0,1)*CapitalCost_ACTIVE*AH$55*IF(Scenario_Select='CBA Inputs'!$T45,1,0)</f>
        <v>0</v>
      </c>
      <c r="BT88" s="17">
        <f>-IF(AND(AI$58&gt;='CBA Inputs'!$P45,AI$58&lt;='CBA Inputs'!$Q45),'CBA Inputs'!$O45/('CBA Inputs'!$Q45-'CBA Inputs'!$P45+1),0)*IF(AI$58=0,0,1)*CapitalCost_ACTIVE*AI$55*IF(Scenario_Select='CBA Inputs'!$T45,1,0)</f>
        <v>0</v>
      </c>
      <c r="BU88" s="17">
        <f>-IF(AND(AJ$58&gt;='CBA Inputs'!$P45,AJ$58&lt;='CBA Inputs'!$Q45),'CBA Inputs'!$O45/('CBA Inputs'!$Q45-'CBA Inputs'!$P45+1),0)*IF(AJ$58=0,0,1)*CapitalCost_ACTIVE*AJ$55*IF(Scenario_Select='CBA Inputs'!$T45,1,0)</f>
        <v>0</v>
      </c>
      <c r="BV88" s="178">
        <f>IFERROR(PMT(DiscountRate_ACTIVE,'CBA Inputs'!S45,'CBA Inputs'!O45),0)*IF(Scenario_Select='CBA Inputs'!$T45,1,0)</f>
        <v>0</v>
      </c>
    </row>
    <row r="89" spans="2:74" x14ac:dyDescent="0.35">
      <c r="B89" s="24">
        <f>+'CBA Inputs'!B46</f>
        <v>12</v>
      </c>
      <c r="C89" s="25" t="str">
        <f>+'CBA Inputs'!C46</f>
        <v>Option 4C</v>
      </c>
      <c r="D89" s="25" t="str">
        <f>'CBA Inputs'!D46</f>
        <v>Lines</v>
      </c>
      <c r="E89" s="12" t="s">
        <v>35</v>
      </c>
      <c r="F89" s="18">
        <f t="shared" si="28"/>
        <v>-923832612.6061964</v>
      </c>
      <c r="G89" s="17">
        <f>-IF(AND(G$58&gt;='CBA Inputs'!$F46,G$58&lt;='CBA Inputs'!$G46),'CBA Inputs'!$E46/('CBA Inputs'!$G46-'CBA Inputs'!$F46+1),0)*IF(G$58=0,0,1)*CapitalCost_ACTIVE*G$55</f>
        <v>0</v>
      </c>
      <c r="H89" s="17">
        <f>-IF(AND(H$58&gt;='CBA Inputs'!$F46,H$58&lt;='CBA Inputs'!$G46),'CBA Inputs'!$E46/('CBA Inputs'!$G46-'CBA Inputs'!$F46+1),0)*IF(H$58=0,0,1)*CapitalCost_ACTIVE*H$55</f>
        <v>-266000000</v>
      </c>
      <c r="I89" s="17">
        <f>-IF(AND(I$58&gt;='CBA Inputs'!$F46,I$58&lt;='CBA Inputs'!$G46),'CBA Inputs'!$E46/('CBA Inputs'!$G46-'CBA Inputs'!$F46+1),0)*IF(I$58=0,0,1)*CapitalCost_ACTIVE*I$55</f>
        <v>-266000000</v>
      </c>
      <c r="J89" s="17">
        <f>-IF(AND(J$58&gt;='CBA Inputs'!$F46,J$58&lt;='CBA Inputs'!$G46),'CBA Inputs'!$E46/('CBA Inputs'!$G46-'CBA Inputs'!$F46+1),0)*IF(J$58=0,0,1)*CapitalCost_ACTIVE*J$55</f>
        <v>-266000000</v>
      </c>
      <c r="K89" s="17">
        <f>-IF(AND(K$58&gt;='CBA Inputs'!$F46,K$58&lt;='CBA Inputs'!$G46),'CBA Inputs'!$E46/('CBA Inputs'!$G46-'CBA Inputs'!$F46+1),0)*IF(K$58=0,0,1)*CapitalCost_ACTIVE*K$55</f>
        <v>-266000000</v>
      </c>
      <c r="L89" s="17">
        <f>-IF(AND(L$58&gt;='CBA Inputs'!$F46,L$58&lt;='CBA Inputs'!$G46),'CBA Inputs'!$E46/('CBA Inputs'!$G46-'CBA Inputs'!$F46+1),0)*IF(L$58=0,0,1)*CapitalCost_ACTIVE*L$55</f>
        <v>0</v>
      </c>
      <c r="M89" s="17">
        <f>-IF(AND(M$58&gt;='CBA Inputs'!$F46,M$58&lt;='CBA Inputs'!$G46),'CBA Inputs'!$E46/('CBA Inputs'!$G46-'CBA Inputs'!$F46+1),0)*IF(M$58=0,0,1)*CapitalCost_ACTIVE*M$55</f>
        <v>0</v>
      </c>
      <c r="N89" s="17">
        <f>-IF(AND(N$58&gt;='CBA Inputs'!$F46,N$58&lt;='CBA Inputs'!$G46),'CBA Inputs'!$E46/('CBA Inputs'!$G46-'CBA Inputs'!$F46+1),0)*IF(N$58=0,0,1)*CapitalCost_ACTIVE*N$55</f>
        <v>0</v>
      </c>
      <c r="O89" s="17">
        <f>-IF(AND(O$58&gt;='CBA Inputs'!$F46,O$58&lt;='CBA Inputs'!$G46),'CBA Inputs'!$E46/('CBA Inputs'!$G46-'CBA Inputs'!$F46+1),0)*IF(O$58=0,0,1)*CapitalCost_ACTIVE*O$55</f>
        <v>0</v>
      </c>
      <c r="P89" s="17">
        <f>-IF(AND(P$58&gt;='CBA Inputs'!$F46,P$58&lt;='CBA Inputs'!$G46),'CBA Inputs'!$E46/('CBA Inputs'!$G46-'CBA Inputs'!$F46+1),0)*IF(P$58=0,0,1)*CapitalCost_ACTIVE*P$55</f>
        <v>0</v>
      </c>
      <c r="Q89" s="17">
        <f>-IF(AND(Q$58&gt;='CBA Inputs'!$F46,Q$58&lt;='CBA Inputs'!$G46),'CBA Inputs'!$E46/('CBA Inputs'!$G46-'CBA Inputs'!$F46+1),0)*IF(Q$58=0,0,1)*CapitalCost_ACTIVE*Q$55</f>
        <v>0</v>
      </c>
      <c r="R89" s="17">
        <f>-IF(AND(R$58&gt;='CBA Inputs'!$F46,R$58&lt;='CBA Inputs'!$G46),'CBA Inputs'!$E46/('CBA Inputs'!$G46-'CBA Inputs'!$F46+1),0)*IF(R$58=0,0,1)*CapitalCost_ACTIVE*R$55</f>
        <v>0</v>
      </c>
      <c r="S89" s="17">
        <f>-IF(AND(S$58&gt;='CBA Inputs'!$F46,S$58&lt;='CBA Inputs'!$G46),'CBA Inputs'!$E46/('CBA Inputs'!$G46-'CBA Inputs'!$F46+1),0)*IF(S$58=0,0,1)*CapitalCost_ACTIVE*S$55</f>
        <v>0</v>
      </c>
      <c r="T89" s="17">
        <f>-IF(AND(T$58&gt;='CBA Inputs'!$F46,T$58&lt;='CBA Inputs'!$G46),'CBA Inputs'!$E46/('CBA Inputs'!$G46-'CBA Inputs'!$F46+1),0)*IF(T$58=0,0,1)*CapitalCost_ACTIVE*T$55</f>
        <v>0</v>
      </c>
      <c r="U89" s="17">
        <f>-IF(AND(U$58&gt;='CBA Inputs'!$F46,U$58&lt;='CBA Inputs'!$G46),'CBA Inputs'!$E46/('CBA Inputs'!$G46-'CBA Inputs'!$F46+1),0)*IF(U$58=0,0,1)*CapitalCost_ACTIVE*U$55</f>
        <v>0</v>
      </c>
      <c r="V89" s="17">
        <f>-IF(AND(V$58&gt;='CBA Inputs'!$F46,V$58&lt;='CBA Inputs'!$G46),'CBA Inputs'!$E46/('CBA Inputs'!$G46-'CBA Inputs'!$F46+1),0)*IF(V$58=0,0,1)*CapitalCost_ACTIVE*V$55</f>
        <v>0</v>
      </c>
      <c r="W89" s="17">
        <f>-IF(AND(W$58&gt;='CBA Inputs'!$F46,W$58&lt;='CBA Inputs'!$G46),'CBA Inputs'!$E46/('CBA Inputs'!$G46-'CBA Inputs'!$F46+1),0)*IF(W$58=0,0,1)*CapitalCost_ACTIVE*W$55</f>
        <v>0</v>
      </c>
      <c r="X89" s="17">
        <f>-IF(AND(X$58&gt;='CBA Inputs'!$F46,X$58&lt;='CBA Inputs'!$G46),'CBA Inputs'!$E46/('CBA Inputs'!$G46-'CBA Inputs'!$F46+1),0)*IF(X$58=0,0,1)*CapitalCost_ACTIVE*X$55</f>
        <v>0</v>
      </c>
      <c r="Y89" s="17">
        <f>-IF(AND(Y$58&gt;='CBA Inputs'!$F46,Y$58&lt;='CBA Inputs'!$G46),'CBA Inputs'!$E46/('CBA Inputs'!$G46-'CBA Inputs'!$F46+1),0)*IF(Y$58=0,0,1)*CapitalCost_ACTIVE*Y$55</f>
        <v>0</v>
      </c>
      <c r="Z89" s="17">
        <f>-IF(AND(Z$58&gt;='CBA Inputs'!$F46,Z$58&lt;='CBA Inputs'!$G46),'CBA Inputs'!$E46/('CBA Inputs'!$G46-'CBA Inputs'!$F46+1),0)*IF(Z$58=0,0,1)*CapitalCost_ACTIVE*Z$55</f>
        <v>0</v>
      </c>
      <c r="AA89" s="17">
        <f>-IF(AND(AA$58&gt;='CBA Inputs'!$F46,AA$58&lt;='CBA Inputs'!$G46),'CBA Inputs'!$E46/('CBA Inputs'!$G46-'CBA Inputs'!$F46+1),0)*IF(AA$58=0,0,1)*CapitalCost_ACTIVE*AA$55</f>
        <v>0</v>
      </c>
      <c r="AB89" s="17">
        <f>-IF(AND(AB$58&gt;='CBA Inputs'!$F46,AB$58&lt;='CBA Inputs'!$G46),'CBA Inputs'!$E46/('CBA Inputs'!$G46-'CBA Inputs'!$F46+1),0)*IF(AB$58=0,0,1)*CapitalCost_ACTIVE*AB$55</f>
        <v>0</v>
      </c>
      <c r="AC89" s="17">
        <f>-IF(AND(AC$58&gt;='CBA Inputs'!$F46,AC$58&lt;='CBA Inputs'!$G46),'CBA Inputs'!$E46/('CBA Inputs'!$G46-'CBA Inputs'!$F46+1),0)*IF(AC$58=0,0,1)*CapitalCost_ACTIVE*AC$55</f>
        <v>0</v>
      </c>
      <c r="AD89" s="17">
        <f>-IF(AND(AD$58&gt;='CBA Inputs'!$F46,AD$58&lt;='CBA Inputs'!$G46),'CBA Inputs'!$E46/('CBA Inputs'!$G46-'CBA Inputs'!$F46+1),0)*IF(AD$58=0,0,1)*CapitalCost_ACTIVE*AD$55</f>
        <v>0</v>
      </c>
      <c r="AE89" s="17">
        <f>-IF(AND(AE$58&gt;='CBA Inputs'!$F46,AE$58&lt;='CBA Inputs'!$G46),'CBA Inputs'!$E46/('CBA Inputs'!$G46-'CBA Inputs'!$F46+1),0)*IF(AE$58=0,0,1)*CapitalCost_ACTIVE*AE$55</f>
        <v>0</v>
      </c>
      <c r="AF89" s="17">
        <f>-IF(AND(AF$58&gt;='CBA Inputs'!$F46,AF$58&lt;='CBA Inputs'!$G46),'CBA Inputs'!$E46/('CBA Inputs'!$G46-'CBA Inputs'!$F46+1),0)*IF(AF$58=0,0,1)*CapitalCost_ACTIVE*AF$55</f>
        <v>0</v>
      </c>
      <c r="AG89" s="17">
        <f>-IF(AND(AG$58&gt;='CBA Inputs'!$F46,AG$58&lt;='CBA Inputs'!$G46),'CBA Inputs'!$E46/('CBA Inputs'!$G46-'CBA Inputs'!$F46+1),0)*IF(AG$58=0,0,1)*CapitalCost_ACTIVE*AG$55</f>
        <v>0</v>
      </c>
      <c r="AH89" s="17">
        <f>-IF(AND(AH$58&gt;='CBA Inputs'!$F46,AH$58&lt;='CBA Inputs'!$G46),'CBA Inputs'!$E46/('CBA Inputs'!$G46-'CBA Inputs'!$F46+1),0)*IF(AH$58=0,0,1)*CapitalCost_ACTIVE*AH$55</f>
        <v>0</v>
      </c>
      <c r="AI89" s="17">
        <f>-IF(AND(AI$58&gt;='CBA Inputs'!$F46,AI$58&lt;='CBA Inputs'!$G46),'CBA Inputs'!$E46/('CBA Inputs'!$G46-'CBA Inputs'!$F46+1),0)*IF(AI$58=0,0,1)*CapitalCost_ACTIVE*AI$55</f>
        <v>0</v>
      </c>
      <c r="AJ89" s="17">
        <f>-IF(AND(AJ$58&gt;='CBA Inputs'!$F46,AJ$58&lt;='CBA Inputs'!$G46),'CBA Inputs'!$E46/('CBA Inputs'!$G46-'CBA Inputs'!$F46+1),0)*IF(AJ$58=0,0,1)*CapitalCost_ACTIVE*AJ$55</f>
        <v>0</v>
      </c>
      <c r="AK89" s="178">
        <f>IFERROR(PMT(DiscountRate_ACTIVE,'CBA Inputs'!I46,'CBA Inputs'!E46),0)</f>
        <v>-66564290.749769725</v>
      </c>
      <c r="AM89" s="24" t="str">
        <f>'CBA Inputs'!L46</f>
        <v/>
      </c>
      <c r="AN89" s="24">
        <f>'CBA Inputs'!M46</f>
        <v>0</v>
      </c>
      <c r="AO89" s="24">
        <f>'CBA Inputs'!N46</f>
        <v>0</v>
      </c>
      <c r="AP89" s="12" t="s">
        <v>35</v>
      </c>
      <c r="AQ89" s="18">
        <f t="shared" si="29"/>
        <v>0</v>
      </c>
      <c r="AR89" s="17">
        <f>-IF(AND(G$58&gt;='CBA Inputs'!$P46,G$58&lt;='CBA Inputs'!$Q46),'CBA Inputs'!$O46/('CBA Inputs'!$Q46-'CBA Inputs'!$P46+1),0)*IF(G$58=0,0,1)*CapitalCost_ACTIVE*G$55*IF(Scenario_Select='CBA Inputs'!$T46,1,0)</f>
        <v>0</v>
      </c>
      <c r="AS89" s="17">
        <f>-IF(AND(H$58&gt;='CBA Inputs'!$P46,H$58&lt;='CBA Inputs'!$Q46),'CBA Inputs'!$O46/('CBA Inputs'!$Q46-'CBA Inputs'!$P46+1),0)*IF(H$58=0,0,1)*CapitalCost_ACTIVE*H$55*IF(Scenario_Select='CBA Inputs'!$T46,1,0)</f>
        <v>0</v>
      </c>
      <c r="AT89" s="17">
        <f>-IF(AND(I$58&gt;='CBA Inputs'!$P46,I$58&lt;='CBA Inputs'!$Q46),'CBA Inputs'!$O46/('CBA Inputs'!$Q46-'CBA Inputs'!$P46+1),0)*IF(I$58=0,0,1)*CapitalCost_ACTIVE*I$55*IF(Scenario_Select='CBA Inputs'!$T46,1,0)</f>
        <v>0</v>
      </c>
      <c r="AU89" s="17">
        <f>-IF(AND(J$58&gt;='CBA Inputs'!$P46,J$58&lt;='CBA Inputs'!$Q46),'CBA Inputs'!$O46/('CBA Inputs'!$Q46-'CBA Inputs'!$P46+1),0)*IF(J$58=0,0,1)*CapitalCost_ACTIVE*J$55*IF(Scenario_Select='CBA Inputs'!$T46,1,0)</f>
        <v>0</v>
      </c>
      <c r="AV89" s="17">
        <f>-IF(AND(K$58&gt;='CBA Inputs'!$P46,K$58&lt;='CBA Inputs'!$Q46),'CBA Inputs'!$O46/('CBA Inputs'!$Q46-'CBA Inputs'!$P46+1),0)*IF(K$58=0,0,1)*CapitalCost_ACTIVE*K$55*IF(Scenario_Select='CBA Inputs'!$T46,1,0)</f>
        <v>0</v>
      </c>
      <c r="AW89" s="17">
        <f>-IF(AND(L$58&gt;='CBA Inputs'!$P46,L$58&lt;='CBA Inputs'!$Q46),'CBA Inputs'!$O46/('CBA Inputs'!$Q46-'CBA Inputs'!$P46+1),0)*IF(L$58=0,0,1)*CapitalCost_ACTIVE*L$55*IF(Scenario_Select='CBA Inputs'!$T46,1,0)</f>
        <v>0</v>
      </c>
      <c r="AX89" s="17">
        <f>-IF(AND(M$58&gt;='CBA Inputs'!$P46,M$58&lt;='CBA Inputs'!$Q46),'CBA Inputs'!$O46/('CBA Inputs'!$Q46-'CBA Inputs'!$P46+1),0)*IF(M$58=0,0,1)*CapitalCost_ACTIVE*M$55*IF(Scenario_Select='CBA Inputs'!$T46,1,0)</f>
        <v>0</v>
      </c>
      <c r="AY89" s="17">
        <f>-IF(AND(N$58&gt;='CBA Inputs'!$P46,N$58&lt;='CBA Inputs'!$Q46),'CBA Inputs'!$O46/('CBA Inputs'!$Q46-'CBA Inputs'!$P46+1),0)*IF(N$58=0,0,1)*CapitalCost_ACTIVE*N$55*IF(Scenario_Select='CBA Inputs'!$T46,1,0)</f>
        <v>0</v>
      </c>
      <c r="AZ89" s="17">
        <f>-IF(AND(O$58&gt;='CBA Inputs'!$P46,O$58&lt;='CBA Inputs'!$Q46),'CBA Inputs'!$O46/('CBA Inputs'!$Q46-'CBA Inputs'!$P46+1),0)*IF(O$58=0,0,1)*CapitalCost_ACTIVE*O$55*IF(Scenario_Select='CBA Inputs'!$T46,1,0)</f>
        <v>0</v>
      </c>
      <c r="BA89" s="17">
        <f>-IF(AND(P$58&gt;='CBA Inputs'!$P46,P$58&lt;='CBA Inputs'!$Q46),'CBA Inputs'!$O46/('CBA Inputs'!$Q46-'CBA Inputs'!$P46+1),0)*IF(P$58=0,0,1)*CapitalCost_ACTIVE*P$55*IF(Scenario_Select='CBA Inputs'!$T46,1,0)</f>
        <v>0</v>
      </c>
      <c r="BB89" s="17">
        <f>-IF(AND(Q$58&gt;='CBA Inputs'!$P46,Q$58&lt;='CBA Inputs'!$Q46),'CBA Inputs'!$O46/('CBA Inputs'!$Q46-'CBA Inputs'!$P46+1),0)*IF(Q$58=0,0,1)*CapitalCost_ACTIVE*Q$55*IF(Scenario_Select='CBA Inputs'!$T46,1,0)</f>
        <v>0</v>
      </c>
      <c r="BC89" s="17">
        <f>-IF(AND(R$58&gt;='CBA Inputs'!$P46,R$58&lt;='CBA Inputs'!$Q46),'CBA Inputs'!$O46/('CBA Inputs'!$Q46-'CBA Inputs'!$P46+1),0)*IF(R$58=0,0,1)*CapitalCost_ACTIVE*R$55*IF(Scenario_Select='CBA Inputs'!$T46,1,0)</f>
        <v>0</v>
      </c>
      <c r="BD89" s="17">
        <f>-IF(AND(S$58&gt;='CBA Inputs'!$P46,S$58&lt;='CBA Inputs'!$Q46),'CBA Inputs'!$O46/('CBA Inputs'!$Q46-'CBA Inputs'!$P46+1),0)*IF(S$58=0,0,1)*CapitalCost_ACTIVE*S$55*IF(Scenario_Select='CBA Inputs'!$T46,1,0)</f>
        <v>0</v>
      </c>
      <c r="BE89" s="17">
        <f>-IF(AND(T$58&gt;='CBA Inputs'!$P46,T$58&lt;='CBA Inputs'!$Q46),'CBA Inputs'!$O46/('CBA Inputs'!$Q46-'CBA Inputs'!$P46+1),0)*IF(T$58=0,0,1)*CapitalCost_ACTIVE*T$55*IF(Scenario_Select='CBA Inputs'!$T46,1,0)</f>
        <v>0</v>
      </c>
      <c r="BF89" s="17">
        <f>-IF(AND(U$58&gt;='CBA Inputs'!$P46,U$58&lt;='CBA Inputs'!$Q46),'CBA Inputs'!$O46/('CBA Inputs'!$Q46-'CBA Inputs'!$P46+1),0)*IF(U$58=0,0,1)*CapitalCost_ACTIVE*U$55*IF(Scenario_Select='CBA Inputs'!$T46,1,0)</f>
        <v>0</v>
      </c>
      <c r="BG89" s="17">
        <f>-IF(AND(V$58&gt;='CBA Inputs'!$P46,V$58&lt;='CBA Inputs'!$Q46),'CBA Inputs'!$O46/('CBA Inputs'!$Q46-'CBA Inputs'!$P46+1),0)*IF(V$58=0,0,1)*CapitalCost_ACTIVE*V$55*IF(Scenario_Select='CBA Inputs'!$T46,1,0)</f>
        <v>0</v>
      </c>
      <c r="BH89" s="17">
        <f>-IF(AND(W$58&gt;='CBA Inputs'!$P46,W$58&lt;='CBA Inputs'!$Q46),'CBA Inputs'!$O46/('CBA Inputs'!$Q46-'CBA Inputs'!$P46+1),0)*IF(W$58=0,0,1)*CapitalCost_ACTIVE*W$55*IF(Scenario_Select='CBA Inputs'!$T46,1,0)</f>
        <v>0</v>
      </c>
      <c r="BI89" s="17">
        <f>-IF(AND(X$58&gt;='CBA Inputs'!$P46,X$58&lt;='CBA Inputs'!$Q46),'CBA Inputs'!$O46/('CBA Inputs'!$Q46-'CBA Inputs'!$P46+1),0)*IF(X$58=0,0,1)*CapitalCost_ACTIVE*X$55*IF(Scenario_Select='CBA Inputs'!$T46,1,0)</f>
        <v>0</v>
      </c>
      <c r="BJ89" s="17">
        <f>-IF(AND(Y$58&gt;='CBA Inputs'!$P46,Y$58&lt;='CBA Inputs'!$Q46),'CBA Inputs'!$O46/('CBA Inputs'!$Q46-'CBA Inputs'!$P46+1),0)*IF(Y$58=0,0,1)*CapitalCost_ACTIVE*Y$55*IF(Scenario_Select='CBA Inputs'!$T46,1,0)</f>
        <v>0</v>
      </c>
      <c r="BK89" s="17">
        <f>-IF(AND(Z$58&gt;='CBA Inputs'!$P46,Z$58&lt;='CBA Inputs'!$Q46),'CBA Inputs'!$O46/('CBA Inputs'!$Q46-'CBA Inputs'!$P46+1),0)*IF(Z$58=0,0,1)*CapitalCost_ACTIVE*Z$55*IF(Scenario_Select='CBA Inputs'!$T46,1,0)</f>
        <v>0</v>
      </c>
      <c r="BL89" s="17">
        <f>-IF(AND(AA$58&gt;='CBA Inputs'!$P46,AA$58&lt;='CBA Inputs'!$Q46),'CBA Inputs'!$O46/('CBA Inputs'!$Q46-'CBA Inputs'!$P46+1),0)*IF(AA$58=0,0,1)*CapitalCost_ACTIVE*AA$55*IF(Scenario_Select='CBA Inputs'!$T46,1,0)</f>
        <v>0</v>
      </c>
      <c r="BM89" s="17">
        <f>-IF(AND(AB$58&gt;='CBA Inputs'!$P46,AB$58&lt;='CBA Inputs'!$Q46),'CBA Inputs'!$O46/('CBA Inputs'!$Q46-'CBA Inputs'!$P46+1),0)*IF(AB$58=0,0,1)*CapitalCost_ACTIVE*AB$55*IF(Scenario_Select='CBA Inputs'!$T46,1,0)</f>
        <v>0</v>
      </c>
      <c r="BN89" s="17">
        <f>-IF(AND(AC$58&gt;='CBA Inputs'!$P46,AC$58&lt;='CBA Inputs'!$Q46),'CBA Inputs'!$O46/('CBA Inputs'!$Q46-'CBA Inputs'!$P46+1),0)*IF(AC$58=0,0,1)*CapitalCost_ACTIVE*AC$55*IF(Scenario_Select='CBA Inputs'!$T46,1,0)</f>
        <v>0</v>
      </c>
      <c r="BO89" s="17">
        <f>-IF(AND(AD$58&gt;='CBA Inputs'!$P46,AD$58&lt;='CBA Inputs'!$Q46),'CBA Inputs'!$O46/('CBA Inputs'!$Q46-'CBA Inputs'!$P46+1),0)*IF(AD$58=0,0,1)*CapitalCost_ACTIVE*AD$55*IF(Scenario_Select='CBA Inputs'!$T46,1,0)</f>
        <v>0</v>
      </c>
      <c r="BP89" s="17">
        <f>-IF(AND(AE$58&gt;='CBA Inputs'!$P46,AE$58&lt;='CBA Inputs'!$Q46),'CBA Inputs'!$O46/('CBA Inputs'!$Q46-'CBA Inputs'!$P46+1),0)*IF(AE$58=0,0,1)*CapitalCost_ACTIVE*AE$55*IF(Scenario_Select='CBA Inputs'!$T46,1,0)</f>
        <v>0</v>
      </c>
      <c r="BQ89" s="17">
        <f>-IF(AND(AF$58&gt;='CBA Inputs'!$P46,AF$58&lt;='CBA Inputs'!$Q46),'CBA Inputs'!$O46/('CBA Inputs'!$Q46-'CBA Inputs'!$P46+1),0)*IF(AF$58=0,0,1)*CapitalCost_ACTIVE*AF$55*IF(Scenario_Select='CBA Inputs'!$T46,1,0)</f>
        <v>0</v>
      </c>
      <c r="BR89" s="17">
        <f>-IF(AND(AG$58&gt;='CBA Inputs'!$P46,AG$58&lt;='CBA Inputs'!$Q46),'CBA Inputs'!$O46/('CBA Inputs'!$Q46-'CBA Inputs'!$P46+1),0)*IF(AG$58=0,0,1)*CapitalCost_ACTIVE*AG$55*IF(Scenario_Select='CBA Inputs'!$T46,1,0)</f>
        <v>0</v>
      </c>
      <c r="BS89" s="17">
        <f>-IF(AND(AH$58&gt;='CBA Inputs'!$P46,AH$58&lt;='CBA Inputs'!$Q46),'CBA Inputs'!$O46/('CBA Inputs'!$Q46-'CBA Inputs'!$P46+1),0)*IF(AH$58=0,0,1)*CapitalCost_ACTIVE*AH$55*IF(Scenario_Select='CBA Inputs'!$T46,1,0)</f>
        <v>0</v>
      </c>
      <c r="BT89" s="17">
        <f>-IF(AND(AI$58&gt;='CBA Inputs'!$P46,AI$58&lt;='CBA Inputs'!$Q46),'CBA Inputs'!$O46/('CBA Inputs'!$Q46-'CBA Inputs'!$P46+1),0)*IF(AI$58=0,0,1)*CapitalCost_ACTIVE*AI$55*IF(Scenario_Select='CBA Inputs'!$T46,1,0)</f>
        <v>0</v>
      </c>
      <c r="BU89" s="17">
        <f>-IF(AND(AJ$58&gt;='CBA Inputs'!$P46,AJ$58&lt;='CBA Inputs'!$Q46),'CBA Inputs'!$O46/('CBA Inputs'!$Q46-'CBA Inputs'!$P46+1),0)*IF(AJ$58=0,0,1)*CapitalCost_ACTIVE*AJ$55*IF(Scenario_Select='CBA Inputs'!$T46,1,0)</f>
        <v>0</v>
      </c>
      <c r="BV89" s="178">
        <f>IFERROR(PMT(DiscountRate_ACTIVE,'CBA Inputs'!S46,'CBA Inputs'!O46),0)*IF(Scenario_Select='CBA Inputs'!$T46,1,0)</f>
        <v>0</v>
      </c>
    </row>
    <row r="90" spans="2:74" x14ac:dyDescent="0.35">
      <c r="B90" s="24">
        <f>+'CBA Inputs'!B47</f>
        <v>12</v>
      </c>
      <c r="C90" s="25" t="str">
        <f>+'CBA Inputs'!C47</f>
        <v>Option 4C</v>
      </c>
      <c r="D90" s="25" t="str">
        <f>'CBA Inputs'!D47</f>
        <v>Substation</v>
      </c>
      <c r="E90" s="12" t="s">
        <v>35</v>
      </c>
      <c r="F90" s="18">
        <f t="shared" si="28"/>
        <v>-252664746.49286014</v>
      </c>
      <c r="G90" s="17">
        <f>-IF(AND(G$58&gt;='CBA Inputs'!$F47,G$58&lt;='CBA Inputs'!$G47),'CBA Inputs'!$E47/('CBA Inputs'!$G47-'CBA Inputs'!$F47+1),0)*IF(G$58=0,0,1)*CapitalCost_ACTIVE*G$55</f>
        <v>0</v>
      </c>
      <c r="H90" s="17">
        <f>-IF(AND(H$58&gt;='CBA Inputs'!$F47,H$58&lt;='CBA Inputs'!$G47),'CBA Inputs'!$E47/('CBA Inputs'!$G47-'CBA Inputs'!$F47+1),0)*IF(H$58=0,0,1)*CapitalCost_ACTIVE*H$55</f>
        <v>-72750000</v>
      </c>
      <c r="I90" s="17">
        <f>-IF(AND(I$58&gt;='CBA Inputs'!$F47,I$58&lt;='CBA Inputs'!$G47),'CBA Inputs'!$E47/('CBA Inputs'!$G47-'CBA Inputs'!$F47+1),0)*IF(I$58=0,0,1)*CapitalCost_ACTIVE*I$55</f>
        <v>-72750000</v>
      </c>
      <c r="J90" s="17">
        <f>-IF(AND(J$58&gt;='CBA Inputs'!$F47,J$58&lt;='CBA Inputs'!$G47),'CBA Inputs'!$E47/('CBA Inputs'!$G47-'CBA Inputs'!$F47+1),0)*IF(J$58=0,0,1)*CapitalCost_ACTIVE*J$55</f>
        <v>-72750000</v>
      </c>
      <c r="K90" s="17">
        <f>-IF(AND(K$58&gt;='CBA Inputs'!$F47,K$58&lt;='CBA Inputs'!$G47),'CBA Inputs'!$E47/('CBA Inputs'!$G47-'CBA Inputs'!$F47+1),0)*IF(K$58=0,0,1)*CapitalCost_ACTIVE*K$55</f>
        <v>-72750000</v>
      </c>
      <c r="L90" s="17">
        <f>-IF(AND(L$58&gt;='CBA Inputs'!$F47,L$58&lt;='CBA Inputs'!$G47),'CBA Inputs'!$E47/('CBA Inputs'!$G47-'CBA Inputs'!$F47+1),0)*IF(L$58=0,0,1)*CapitalCost_ACTIVE*L$55</f>
        <v>0</v>
      </c>
      <c r="M90" s="17">
        <f>-IF(AND(M$58&gt;='CBA Inputs'!$F47,M$58&lt;='CBA Inputs'!$G47),'CBA Inputs'!$E47/('CBA Inputs'!$G47-'CBA Inputs'!$F47+1),0)*IF(M$58=0,0,1)*CapitalCost_ACTIVE*M$55</f>
        <v>0</v>
      </c>
      <c r="N90" s="17">
        <f>-IF(AND(N$58&gt;='CBA Inputs'!$F47,N$58&lt;='CBA Inputs'!$G47),'CBA Inputs'!$E47/('CBA Inputs'!$G47-'CBA Inputs'!$F47+1),0)*IF(N$58=0,0,1)*CapitalCost_ACTIVE*N$55</f>
        <v>0</v>
      </c>
      <c r="O90" s="17">
        <f>-IF(AND(O$58&gt;='CBA Inputs'!$F47,O$58&lt;='CBA Inputs'!$G47),'CBA Inputs'!$E47/('CBA Inputs'!$G47-'CBA Inputs'!$F47+1),0)*IF(O$58=0,0,1)*CapitalCost_ACTIVE*O$55</f>
        <v>0</v>
      </c>
      <c r="P90" s="17">
        <f>-IF(AND(P$58&gt;='CBA Inputs'!$F47,P$58&lt;='CBA Inputs'!$G47),'CBA Inputs'!$E47/('CBA Inputs'!$G47-'CBA Inputs'!$F47+1),0)*IF(P$58=0,0,1)*CapitalCost_ACTIVE*P$55</f>
        <v>0</v>
      </c>
      <c r="Q90" s="17">
        <f>-IF(AND(Q$58&gt;='CBA Inputs'!$F47,Q$58&lt;='CBA Inputs'!$G47),'CBA Inputs'!$E47/('CBA Inputs'!$G47-'CBA Inputs'!$F47+1),0)*IF(Q$58=0,0,1)*CapitalCost_ACTIVE*Q$55</f>
        <v>0</v>
      </c>
      <c r="R90" s="17">
        <f>-IF(AND(R$58&gt;='CBA Inputs'!$F47,R$58&lt;='CBA Inputs'!$G47),'CBA Inputs'!$E47/('CBA Inputs'!$G47-'CBA Inputs'!$F47+1),0)*IF(R$58=0,0,1)*CapitalCost_ACTIVE*R$55</f>
        <v>0</v>
      </c>
      <c r="S90" s="17">
        <f>-IF(AND(S$58&gt;='CBA Inputs'!$F47,S$58&lt;='CBA Inputs'!$G47),'CBA Inputs'!$E47/('CBA Inputs'!$G47-'CBA Inputs'!$F47+1),0)*IF(S$58=0,0,1)*CapitalCost_ACTIVE*S$55</f>
        <v>0</v>
      </c>
      <c r="T90" s="17">
        <f>-IF(AND(T$58&gt;='CBA Inputs'!$F47,T$58&lt;='CBA Inputs'!$G47),'CBA Inputs'!$E47/('CBA Inputs'!$G47-'CBA Inputs'!$F47+1),0)*IF(T$58=0,0,1)*CapitalCost_ACTIVE*T$55</f>
        <v>0</v>
      </c>
      <c r="U90" s="17">
        <f>-IF(AND(U$58&gt;='CBA Inputs'!$F47,U$58&lt;='CBA Inputs'!$G47),'CBA Inputs'!$E47/('CBA Inputs'!$G47-'CBA Inputs'!$F47+1),0)*IF(U$58=0,0,1)*CapitalCost_ACTIVE*U$55</f>
        <v>0</v>
      </c>
      <c r="V90" s="17">
        <f>-IF(AND(V$58&gt;='CBA Inputs'!$F47,V$58&lt;='CBA Inputs'!$G47),'CBA Inputs'!$E47/('CBA Inputs'!$G47-'CBA Inputs'!$F47+1),0)*IF(V$58=0,0,1)*CapitalCost_ACTIVE*V$55</f>
        <v>0</v>
      </c>
      <c r="W90" s="17">
        <f>-IF(AND(W$58&gt;='CBA Inputs'!$F47,W$58&lt;='CBA Inputs'!$G47),'CBA Inputs'!$E47/('CBA Inputs'!$G47-'CBA Inputs'!$F47+1),0)*IF(W$58=0,0,1)*CapitalCost_ACTIVE*W$55</f>
        <v>0</v>
      </c>
      <c r="X90" s="17">
        <f>-IF(AND(X$58&gt;='CBA Inputs'!$F47,X$58&lt;='CBA Inputs'!$G47),'CBA Inputs'!$E47/('CBA Inputs'!$G47-'CBA Inputs'!$F47+1),0)*IF(X$58=0,0,1)*CapitalCost_ACTIVE*X$55</f>
        <v>0</v>
      </c>
      <c r="Y90" s="17">
        <f>-IF(AND(Y$58&gt;='CBA Inputs'!$F47,Y$58&lt;='CBA Inputs'!$G47),'CBA Inputs'!$E47/('CBA Inputs'!$G47-'CBA Inputs'!$F47+1),0)*IF(Y$58=0,0,1)*CapitalCost_ACTIVE*Y$55</f>
        <v>0</v>
      </c>
      <c r="Z90" s="17">
        <f>-IF(AND(Z$58&gt;='CBA Inputs'!$F47,Z$58&lt;='CBA Inputs'!$G47),'CBA Inputs'!$E47/('CBA Inputs'!$G47-'CBA Inputs'!$F47+1),0)*IF(Z$58=0,0,1)*CapitalCost_ACTIVE*Z$55</f>
        <v>0</v>
      </c>
      <c r="AA90" s="17">
        <f>-IF(AND(AA$58&gt;='CBA Inputs'!$F47,AA$58&lt;='CBA Inputs'!$G47),'CBA Inputs'!$E47/('CBA Inputs'!$G47-'CBA Inputs'!$F47+1),0)*IF(AA$58=0,0,1)*CapitalCost_ACTIVE*AA$55</f>
        <v>0</v>
      </c>
      <c r="AB90" s="17">
        <f>-IF(AND(AB$58&gt;='CBA Inputs'!$F47,AB$58&lt;='CBA Inputs'!$G47),'CBA Inputs'!$E47/('CBA Inputs'!$G47-'CBA Inputs'!$F47+1),0)*IF(AB$58=0,0,1)*CapitalCost_ACTIVE*AB$55</f>
        <v>0</v>
      </c>
      <c r="AC90" s="17">
        <f>-IF(AND(AC$58&gt;='CBA Inputs'!$F47,AC$58&lt;='CBA Inputs'!$G47),'CBA Inputs'!$E47/('CBA Inputs'!$G47-'CBA Inputs'!$F47+1),0)*IF(AC$58=0,0,1)*CapitalCost_ACTIVE*AC$55</f>
        <v>0</v>
      </c>
      <c r="AD90" s="17">
        <f>-IF(AND(AD$58&gt;='CBA Inputs'!$F47,AD$58&lt;='CBA Inputs'!$G47),'CBA Inputs'!$E47/('CBA Inputs'!$G47-'CBA Inputs'!$F47+1),0)*IF(AD$58=0,0,1)*CapitalCost_ACTIVE*AD$55</f>
        <v>0</v>
      </c>
      <c r="AE90" s="17">
        <f>-IF(AND(AE$58&gt;='CBA Inputs'!$F47,AE$58&lt;='CBA Inputs'!$G47),'CBA Inputs'!$E47/('CBA Inputs'!$G47-'CBA Inputs'!$F47+1),0)*IF(AE$58=0,0,1)*CapitalCost_ACTIVE*AE$55</f>
        <v>0</v>
      </c>
      <c r="AF90" s="17">
        <f>-IF(AND(AF$58&gt;='CBA Inputs'!$F47,AF$58&lt;='CBA Inputs'!$G47),'CBA Inputs'!$E47/('CBA Inputs'!$G47-'CBA Inputs'!$F47+1),0)*IF(AF$58=0,0,1)*CapitalCost_ACTIVE*AF$55</f>
        <v>0</v>
      </c>
      <c r="AG90" s="17">
        <f>-IF(AND(AG$58&gt;='CBA Inputs'!$F47,AG$58&lt;='CBA Inputs'!$G47),'CBA Inputs'!$E47/('CBA Inputs'!$G47-'CBA Inputs'!$F47+1),0)*IF(AG$58=0,0,1)*CapitalCost_ACTIVE*AG$55</f>
        <v>0</v>
      </c>
      <c r="AH90" s="17">
        <f>-IF(AND(AH$58&gt;='CBA Inputs'!$F47,AH$58&lt;='CBA Inputs'!$G47),'CBA Inputs'!$E47/('CBA Inputs'!$G47-'CBA Inputs'!$F47+1),0)*IF(AH$58=0,0,1)*CapitalCost_ACTIVE*AH$55</f>
        <v>0</v>
      </c>
      <c r="AI90" s="17">
        <f>-IF(AND(AI$58&gt;='CBA Inputs'!$F47,AI$58&lt;='CBA Inputs'!$G47),'CBA Inputs'!$E47/('CBA Inputs'!$G47-'CBA Inputs'!$F47+1),0)*IF(AI$58=0,0,1)*CapitalCost_ACTIVE*AI$55</f>
        <v>0</v>
      </c>
      <c r="AJ90" s="17">
        <f>-IF(AND(AJ$58&gt;='CBA Inputs'!$F47,AJ$58&lt;='CBA Inputs'!$G47),'CBA Inputs'!$E47/('CBA Inputs'!$G47-'CBA Inputs'!$F47+1),0)*IF(AJ$58=0,0,1)*CapitalCost_ACTIVE*AJ$55</f>
        <v>0</v>
      </c>
      <c r="AK90" s="178">
        <f>IFERROR(PMT(DiscountRate_ACTIVE,'CBA Inputs'!I47,'CBA Inputs'!E47),0)</f>
        <v>-19097097.349735349</v>
      </c>
      <c r="AM90" s="24" t="str">
        <f>'CBA Inputs'!L47</f>
        <v/>
      </c>
      <c r="AN90" s="24">
        <f>'CBA Inputs'!M47</f>
        <v>0</v>
      </c>
      <c r="AO90" s="24">
        <f>'CBA Inputs'!N47</f>
        <v>0</v>
      </c>
      <c r="AP90" s="12" t="s">
        <v>35</v>
      </c>
      <c r="AQ90" s="18">
        <f t="shared" si="29"/>
        <v>0</v>
      </c>
      <c r="AR90" s="17">
        <f>-IF(AND(G$58&gt;='CBA Inputs'!$P47,G$58&lt;='CBA Inputs'!$Q47),'CBA Inputs'!$O47/('CBA Inputs'!$Q47-'CBA Inputs'!$P47+1),0)*IF(G$58=0,0,1)*CapitalCost_ACTIVE*G$55*IF(Scenario_Select='CBA Inputs'!$T47,1,0)</f>
        <v>0</v>
      </c>
      <c r="AS90" s="17">
        <f>-IF(AND(H$58&gt;='CBA Inputs'!$P47,H$58&lt;='CBA Inputs'!$Q47),'CBA Inputs'!$O47/('CBA Inputs'!$Q47-'CBA Inputs'!$P47+1),0)*IF(H$58=0,0,1)*CapitalCost_ACTIVE*H$55*IF(Scenario_Select='CBA Inputs'!$T47,1,0)</f>
        <v>0</v>
      </c>
      <c r="AT90" s="17">
        <f>-IF(AND(I$58&gt;='CBA Inputs'!$P47,I$58&lt;='CBA Inputs'!$Q47),'CBA Inputs'!$O47/('CBA Inputs'!$Q47-'CBA Inputs'!$P47+1),0)*IF(I$58=0,0,1)*CapitalCost_ACTIVE*I$55*IF(Scenario_Select='CBA Inputs'!$T47,1,0)</f>
        <v>0</v>
      </c>
      <c r="AU90" s="17">
        <f>-IF(AND(J$58&gt;='CBA Inputs'!$P47,J$58&lt;='CBA Inputs'!$Q47),'CBA Inputs'!$O47/('CBA Inputs'!$Q47-'CBA Inputs'!$P47+1),0)*IF(J$58=0,0,1)*CapitalCost_ACTIVE*J$55*IF(Scenario_Select='CBA Inputs'!$T47,1,0)</f>
        <v>0</v>
      </c>
      <c r="AV90" s="17">
        <f>-IF(AND(K$58&gt;='CBA Inputs'!$P47,K$58&lt;='CBA Inputs'!$Q47),'CBA Inputs'!$O47/('CBA Inputs'!$Q47-'CBA Inputs'!$P47+1),0)*IF(K$58=0,0,1)*CapitalCost_ACTIVE*K$55*IF(Scenario_Select='CBA Inputs'!$T47,1,0)</f>
        <v>0</v>
      </c>
      <c r="AW90" s="17">
        <f>-IF(AND(L$58&gt;='CBA Inputs'!$P47,L$58&lt;='CBA Inputs'!$Q47),'CBA Inputs'!$O47/('CBA Inputs'!$Q47-'CBA Inputs'!$P47+1),0)*IF(L$58=0,0,1)*CapitalCost_ACTIVE*L$55*IF(Scenario_Select='CBA Inputs'!$T47,1,0)</f>
        <v>0</v>
      </c>
      <c r="AX90" s="17">
        <f>-IF(AND(M$58&gt;='CBA Inputs'!$P47,M$58&lt;='CBA Inputs'!$Q47),'CBA Inputs'!$O47/('CBA Inputs'!$Q47-'CBA Inputs'!$P47+1),0)*IF(M$58=0,0,1)*CapitalCost_ACTIVE*M$55*IF(Scenario_Select='CBA Inputs'!$T47,1,0)</f>
        <v>0</v>
      </c>
      <c r="AY90" s="17">
        <f>-IF(AND(N$58&gt;='CBA Inputs'!$P47,N$58&lt;='CBA Inputs'!$Q47),'CBA Inputs'!$O47/('CBA Inputs'!$Q47-'CBA Inputs'!$P47+1),0)*IF(N$58=0,0,1)*CapitalCost_ACTIVE*N$55*IF(Scenario_Select='CBA Inputs'!$T47,1,0)</f>
        <v>0</v>
      </c>
      <c r="AZ90" s="17">
        <f>-IF(AND(O$58&gt;='CBA Inputs'!$P47,O$58&lt;='CBA Inputs'!$Q47),'CBA Inputs'!$O47/('CBA Inputs'!$Q47-'CBA Inputs'!$P47+1),0)*IF(O$58=0,0,1)*CapitalCost_ACTIVE*O$55*IF(Scenario_Select='CBA Inputs'!$T47,1,0)</f>
        <v>0</v>
      </c>
      <c r="BA90" s="17">
        <f>-IF(AND(P$58&gt;='CBA Inputs'!$P47,P$58&lt;='CBA Inputs'!$Q47),'CBA Inputs'!$O47/('CBA Inputs'!$Q47-'CBA Inputs'!$P47+1),0)*IF(P$58=0,0,1)*CapitalCost_ACTIVE*P$55*IF(Scenario_Select='CBA Inputs'!$T47,1,0)</f>
        <v>0</v>
      </c>
      <c r="BB90" s="17">
        <f>-IF(AND(Q$58&gt;='CBA Inputs'!$P47,Q$58&lt;='CBA Inputs'!$Q47),'CBA Inputs'!$O47/('CBA Inputs'!$Q47-'CBA Inputs'!$P47+1),0)*IF(Q$58=0,0,1)*CapitalCost_ACTIVE*Q$55*IF(Scenario_Select='CBA Inputs'!$T47,1,0)</f>
        <v>0</v>
      </c>
      <c r="BC90" s="17">
        <f>-IF(AND(R$58&gt;='CBA Inputs'!$P47,R$58&lt;='CBA Inputs'!$Q47),'CBA Inputs'!$O47/('CBA Inputs'!$Q47-'CBA Inputs'!$P47+1),0)*IF(R$58=0,0,1)*CapitalCost_ACTIVE*R$55*IF(Scenario_Select='CBA Inputs'!$T47,1,0)</f>
        <v>0</v>
      </c>
      <c r="BD90" s="17">
        <f>-IF(AND(S$58&gt;='CBA Inputs'!$P47,S$58&lt;='CBA Inputs'!$Q47),'CBA Inputs'!$O47/('CBA Inputs'!$Q47-'CBA Inputs'!$P47+1),0)*IF(S$58=0,0,1)*CapitalCost_ACTIVE*S$55*IF(Scenario_Select='CBA Inputs'!$T47,1,0)</f>
        <v>0</v>
      </c>
      <c r="BE90" s="17">
        <f>-IF(AND(T$58&gt;='CBA Inputs'!$P47,T$58&lt;='CBA Inputs'!$Q47),'CBA Inputs'!$O47/('CBA Inputs'!$Q47-'CBA Inputs'!$P47+1),0)*IF(T$58=0,0,1)*CapitalCost_ACTIVE*T$55*IF(Scenario_Select='CBA Inputs'!$T47,1,0)</f>
        <v>0</v>
      </c>
      <c r="BF90" s="17">
        <f>-IF(AND(U$58&gt;='CBA Inputs'!$P47,U$58&lt;='CBA Inputs'!$Q47),'CBA Inputs'!$O47/('CBA Inputs'!$Q47-'CBA Inputs'!$P47+1),0)*IF(U$58=0,0,1)*CapitalCost_ACTIVE*U$55*IF(Scenario_Select='CBA Inputs'!$T47,1,0)</f>
        <v>0</v>
      </c>
      <c r="BG90" s="17">
        <f>-IF(AND(V$58&gt;='CBA Inputs'!$P47,V$58&lt;='CBA Inputs'!$Q47),'CBA Inputs'!$O47/('CBA Inputs'!$Q47-'CBA Inputs'!$P47+1),0)*IF(V$58=0,0,1)*CapitalCost_ACTIVE*V$55*IF(Scenario_Select='CBA Inputs'!$T47,1,0)</f>
        <v>0</v>
      </c>
      <c r="BH90" s="17">
        <f>-IF(AND(W$58&gt;='CBA Inputs'!$P47,W$58&lt;='CBA Inputs'!$Q47),'CBA Inputs'!$O47/('CBA Inputs'!$Q47-'CBA Inputs'!$P47+1),0)*IF(W$58=0,0,1)*CapitalCost_ACTIVE*W$55*IF(Scenario_Select='CBA Inputs'!$T47,1,0)</f>
        <v>0</v>
      </c>
      <c r="BI90" s="17">
        <f>-IF(AND(X$58&gt;='CBA Inputs'!$P47,X$58&lt;='CBA Inputs'!$Q47),'CBA Inputs'!$O47/('CBA Inputs'!$Q47-'CBA Inputs'!$P47+1),0)*IF(X$58=0,0,1)*CapitalCost_ACTIVE*X$55*IF(Scenario_Select='CBA Inputs'!$T47,1,0)</f>
        <v>0</v>
      </c>
      <c r="BJ90" s="17">
        <f>-IF(AND(Y$58&gt;='CBA Inputs'!$P47,Y$58&lt;='CBA Inputs'!$Q47),'CBA Inputs'!$O47/('CBA Inputs'!$Q47-'CBA Inputs'!$P47+1),0)*IF(Y$58=0,0,1)*CapitalCost_ACTIVE*Y$55*IF(Scenario_Select='CBA Inputs'!$T47,1,0)</f>
        <v>0</v>
      </c>
      <c r="BK90" s="17">
        <f>-IF(AND(Z$58&gt;='CBA Inputs'!$P47,Z$58&lt;='CBA Inputs'!$Q47),'CBA Inputs'!$O47/('CBA Inputs'!$Q47-'CBA Inputs'!$P47+1),0)*IF(Z$58=0,0,1)*CapitalCost_ACTIVE*Z$55*IF(Scenario_Select='CBA Inputs'!$T47,1,0)</f>
        <v>0</v>
      </c>
      <c r="BL90" s="17">
        <f>-IF(AND(AA$58&gt;='CBA Inputs'!$P47,AA$58&lt;='CBA Inputs'!$Q47),'CBA Inputs'!$O47/('CBA Inputs'!$Q47-'CBA Inputs'!$P47+1),0)*IF(AA$58=0,0,1)*CapitalCost_ACTIVE*AA$55*IF(Scenario_Select='CBA Inputs'!$T47,1,0)</f>
        <v>0</v>
      </c>
      <c r="BM90" s="17">
        <f>-IF(AND(AB$58&gt;='CBA Inputs'!$P47,AB$58&lt;='CBA Inputs'!$Q47),'CBA Inputs'!$O47/('CBA Inputs'!$Q47-'CBA Inputs'!$P47+1),0)*IF(AB$58=0,0,1)*CapitalCost_ACTIVE*AB$55*IF(Scenario_Select='CBA Inputs'!$T47,1,0)</f>
        <v>0</v>
      </c>
      <c r="BN90" s="17">
        <f>-IF(AND(AC$58&gt;='CBA Inputs'!$P47,AC$58&lt;='CBA Inputs'!$Q47),'CBA Inputs'!$O47/('CBA Inputs'!$Q47-'CBA Inputs'!$P47+1),0)*IF(AC$58=0,0,1)*CapitalCost_ACTIVE*AC$55*IF(Scenario_Select='CBA Inputs'!$T47,1,0)</f>
        <v>0</v>
      </c>
      <c r="BO90" s="17">
        <f>-IF(AND(AD$58&gt;='CBA Inputs'!$P47,AD$58&lt;='CBA Inputs'!$Q47),'CBA Inputs'!$O47/('CBA Inputs'!$Q47-'CBA Inputs'!$P47+1),0)*IF(AD$58=0,0,1)*CapitalCost_ACTIVE*AD$55*IF(Scenario_Select='CBA Inputs'!$T47,1,0)</f>
        <v>0</v>
      </c>
      <c r="BP90" s="17">
        <f>-IF(AND(AE$58&gt;='CBA Inputs'!$P47,AE$58&lt;='CBA Inputs'!$Q47),'CBA Inputs'!$O47/('CBA Inputs'!$Q47-'CBA Inputs'!$P47+1),0)*IF(AE$58=0,0,1)*CapitalCost_ACTIVE*AE$55*IF(Scenario_Select='CBA Inputs'!$T47,1,0)</f>
        <v>0</v>
      </c>
      <c r="BQ90" s="17">
        <f>-IF(AND(AF$58&gt;='CBA Inputs'!$P47,AF$58&lt;='CBA Inputs'!$Q47),'CBA Inputs'!$O47/('CBA Inputs'!$Q47-'CBA Inputs'!$P47+1),0)*IF(AF$58=0,0,1)*CapitalCost_ACTIVE*AF$55*IF(Scenario_Select='CBA Inputs'!$T47,1,0)</f>
        <v>0</v>
      </c>
      <c r="BR90" s="17">
        <f>-IF(AND(AG$58&gt;='CBA Inputs'!$P47,AG$58&lt;='CBA Inputs'!$Q47),'CBA Inputs'!$O47/('CBA Inputs'!$Q47-'CBA Inputs'!$P47+1),0)*IF(AG$58=0,0,1)*CapitalCost_ACTIVE*AG$55*IF(Scenario_Select='CBA Inputs'!$T47,1,0)</f>
        <v>0</v>
      </c>
      <c r="BS90" s="17">
        <f>-IF(AND(AH$58&gt;='CBA Inputs'!$P47,AH$58&lt;='CBA Inputs'!$Q47),'CBA Inputs'!$O47/('CBA Inputs'!$Q47-'CBA Inputs'!$P47+1),0)*IF(AH$58=0,0,1)*CapitalCost_ACTIVE*AH$55*IF(Scenario_Select='CBA Inputs'!$T47,1,0)</f>
        <v>0</v>
      </c>
      <c r="BT90" s="17">
        <f>-IF(AND(AI$58&gt;='CBA Inputs'!$P47,AI$58&lt;='CBA Inputs'!$Q47),'CBA Inputs'!$O47/('CBA Inputs'!$Q47-'CBA Inputs'!$P47+1),0)*IF(AI$58=0,0,1)*CapitalCost_ACTIVE*AI$55*IF(Scenario_Select='CBA Inputs'!$T47,1,0)</f>
        <v>0</v>
      </c>
      <c r="BU90" s="17">
        <f>-IF(AND(AJ$58&gt;='CBA Inputs'!$P47,AJ$58&lt;='CBA Inputs'!$Q47),'CBA Inputs'!$O47/('CBA Inputs'!$Q47-'CBA Inputs'!$P47+1),0)*IF(AJ$58=0,0,1)*CapitalCost_ACTIVE*AJ$55*IF(Scenario_Select='CBA Inputs'!$T47,1,0)</f>
        <v>0</v>
      </c>
      <c r="BV90" s="178">
        <f>IFERROR(PMT(DiscountRate_ACTIVE,'CBA Inputs'!S47,'CBA Inputs'!O47),0)*IF(Scenario_Select='CBA Inputs'!$T47,1,0)</f>
        <v>0</v>
      </c>
    </row>
    <row r="91" spans="2:74" x14ac:dyDescent="0.35">
      <c r="B91" s="24">
        <f>+'CBA Inputs'!B48</f>
        <v>12</v>
      </c>
      <c r="C91" s="25" t="str">
        <f>+'CBA Inputs'!C48</f>
        <v>Option 4C</v>
      </c>
      <c r="D91" s="25" t="str">
        <f>'CBA Inputs'!D48</f>
        <v>Lines</v>
      </c>
      <c r="E91" s="12" t="s">
        <v>35</v>
      </c>
      <c r="F91" s="18">
        <f t="shared" si="28"/>
        <v>-315657731.30896074</v>
      </c>
      <c r="G91" s="17">
        <f>-IF(AND(G$58&gt;='CBA Inputs'!$F48,G$58&lt;='CBA Inputs'!$G48),'CBA Inputs'!$E48/('CBA Inputs'!$G48-'CBA Inputs'!$F48+1),0)*IF(G$58=0,0,1)*CapitalCost_ACTIVE*G$55</f>
        <v>0</v>
      </c>
      <c r="H91" s="17">
        <f>-IF(AND(H$58&gt;='CBA Inputs'!$F48,H$58&lt;='CBA Inputs'!$G48),'CBA Inputs'!$E48/('CBA Inputs'!$G48-'CBA Inputs'!$F48+1),0)*IF(H$58=0,0,1)*CapitalCost_ACTIVE*H$55</f>
        <v>0</v>
      </c>
      <c r="I91" s="17">
        <f>-IF(AND(I$58&gt;='CBA Inputs'!$F48,I$58&lt;='CBA Inputs'!$G48),'CBA Inputs'!$E48/('CBA Inputs'!$G48-'CBA Inputs'!$F48+1),0)*IF(I$58=0,0,1)*CapitalCost_ACTIVE*I$55</f>
        <v>-96250000</v>
      </c>
      <c r="J91" s="17">
        <f>-IF(AND(J$58&gt;='CBA Inputs'!$F48,J$58&lt;='CBA Inputs'!$G48),'CBA Inputs'!$E48/('CBA Inputs'!$G48-'CBA Inputs'!$F48+1),0)*IF(J$58=0,0,1)*CapitalCost_ACTIVE*J$55</f>
        <v>-96250000</v>
      </c>
      <c r="K91" s="17">
        <f>-IF(AND(K$58&gt;='CBA Inputs'!$F48,K$58&lt;='CBA Inputs'!$G48),'CBA Inputs'!$E48/('CBA Inputs'!$G48-'CBA Inputs'!$F48+1),0)*IF(K$58=0,0,1)*CapitalCost_ACTIVE*K$55</f>
        <v>-96250000</v>
      </c>
      <c r="L91" s="17">
        <f>-IF(AND(L$58&gt;='CBA Inputs'!$F48,L$58&lt;='CBA Inputs'!$G48),'CBA Inputs'!$E48/('CBA Inputs'!$G48-'CBA Inputs'!$F48+1),0)*IF(L$58=0,0,1)*CapitalCost_ACTIVE*L$55</f>
        <v>-96250000</v>
      </c>
      <c r="M91" s="17">
        <f>-IF(AND(M$58&gt;='CBA Inputs'!$F48,M$58&lt;='CBA Inputs'!$G48),'CBA Inputs'!$E48/('CBA Inputs'!$G48-'CBA Inputs'!$F48+1),0)*IF(M$58=0,0,1)*CapitalCost_ACTIVE*M$55</f>
        <v>0</v>
      </c>
      <c r="N91" s="17">
        <f>-IF(AND(N$58&gt;='CBA Inputs'!$F48,N$58&lt;='CBA Inputs'!$G48),'CBA Inputs'!$E48/('CBA Inputs'!$G48-'CBA Inputs'!$F48+1),0)*IF(N$58=0,0,1)*CapitalCost_ACTIVE*N$55</f>
        <v>0</v>
      </c>
      <c r="O91" s="17">
        <f>-IF(AND(O$58&gt;='CBA Inputs'!$F48,O$58&lt;='CBA Inputs'!$G48),'CBA Inputs'!$E48/('CBA Inputs'!$G48-'CBA Inputs'!$F48+1),0)*IF(O$58=0,0,1)*CapitalCost_ACTIVE*O$55</f>
        <v>0</v>
      </c>
      <c r="P91" s="17">
        <f>-IF(AND(P$58&gt;='CBA Inputs'!$F48,P$58&lt;='CBA Inputs'!$G48),'CBA Inputs'!$E48/('CBA Inputs'!$G48-'CBA Inputs'!$F48+1),0)*IF(P$58=0,0,1)*CapitalCost_ACTIVE*P$55</f>
        <v>0</v>
      </c>
      <c r="Q91" s="17">
        <f>-IF(AND(Q$58&gt;='CBA Inputs'!$F48,Q$58&lt;='CBA Inputs'!$G48),'CBA Inputs'!$E48/('CBA Inputs'!$G48-'CBA Inputs'!$F48+1),0)*IF(Q$58=0,0,1)*CapitalCost_ACTIVE*Q$55</f>
        <v>0</v>
      </c>
      <c r="R91" s="17">
        <f>-IF(AND(R$58&gt;='CBA Inputs'!$F48,R$58&lt;='CBA Inputs'!$G48),'CBA Inputs'!$E48/('CBA Inputs'!$G48-'CBA Inputs'!$F48+1),0)*IF(R$58=0,0,1)*CapitalCost_ACTIVE*R$55</f>
        <v>0</v>
      </c>
      <c r="S91" s="17">
        <f>-IF(AND(S$58&gt;='CBA Inputs'!$F48,S$58&lt;='CBA Inputs'!$G48),'CBA Inputs'!$E48/('CBA Inputs'!$G48-'CBA Inputs'!$F48+1),0)*IF(S$58=0,0,1)*CapitalCost_ACTIVE*S$55</f>
        <v>0</v>
      </c>
      <c r="T91" s="17">
        <f>-IF(AND(T$58&gt;='CBA Inputs'!$F48,T$58&lt;='CBA Inputs'!$G48),'CBA Inputs'!$E48/('CBA Inputs'!$G48-'CBA Inputs'!$F48+1),0)*IF(T$58=0,0,1)*CapitalCost_ACTIVE*T$55</f>
        <v>0</v>
      </c>
      <c r="U91" s="17">
        <f>-IF(AND(U$58&gt;='CBA Inputs'!$F48,U$58&lt;='CBA Inputs'!$G48),'CBA Inputs'!$E48/('CBA Inputs'!$G48-'CBA Inputs'!$F48+1),0)*IF(U$58=0,0,1)*CapitalCost_ACTIVE*U$55</f>
        <v>0</v>
      </c>
      <c r="V91" s="17">
        <f>-IF(AND(V$58&gt;='CBA Inputs'!$F48,V$58&lt;='CBA Inputs'!$G48),'CBA Inputs'!$E48/('CBA Inputs'!$G48-'CBA Inputs'!$F48+1),0)*IF(V$58=0,0,1)*CapitalCost_ACTIVE*V$55</f>
        <v>0</v>
      </c>
      <c r="W91" s="17">
        <f>-IF(AND(W$58&gt;='CBA Inputs'!$F48,W$58&lt;='CBA Inputs'!$G48),'CBA Inputs'!$E48/('CBA Inputs'!$G48-'CBA Inputs'!$F48+1),0)*IF(W$58=0,0,1)*CapitalCost_ACTIVE*W$55</f>
        <v>0</v>
      </c>
      <c r="X91" s="17">
        <f>-IF(AND(X$58&gt;='CBA Inputs'!$F48,X$58&lt;='CBA Inputs'!$G48),'CBA Inputs'!$E48/('CBA Inputs'!$G48-'CBA Inputs'!$F48+1),0)*IF(X$58=0,0,1)*CapitalCost_ACTIVE*X$55</f>
        <v>0</v>
      </c>
      <c r="Y91" s="17">
        <f>-IF(AND(Y$58&gt;='CBA Inputs'!$F48,Y$58&lt;='CBA Inputs'!$G48),'CBA Inputs'!$E48/('CBA Inputs'!$G48-'CBA Inputs'!$F48+1),0)*IF(Y$58=0,0,1)*CapitalCost_ACTIVE*Y$55</f>
        <v>0</v>
      </c>
      <c r="Z91" s="17">
        <f>-IF(AND(Z$58&gt;='CBA Inputs'!$F48,Z$58&lt;='CBA Inputs'!$G48),'CBA Inputs'!$E48/('CBA Inputs'!$G48-'CBA Inputs'!$F48+1),0)*IF(Z$58=0,0,1)*CapitalCost_ACTIVE*Z$55</f>
        <v>0</v>
      </c>
      <c r="AA91" s="17">
        <f>-IF(AND(AA$58&gt;='CBA Inputs'!$F48,AA$58&lt;='CBA Inputs'!$G48),'CBA Inputs'!$E48/('CBA Inputs'!$G48-'CBA Inputs'!$F48+1),0)*IF(AA$58=0,0,1)*CapitalCost_ACTIVE*AA$55</f>
        <v>0</v>
      </c>
      <c r="AB91" s="17">
        <f>-IF(AND(AB$58&gt;='CBA Inputs'!$F48,AB$58&lt;='CBA Inputs'!$G48),'CBA Inputs'!$E48/('CBA Inputs'!$G48-'CBA Inputs'!$F48+1),0)*IF(AB$58=0,0,1)*CapitalCost_ACTIVE*AB$55</f>
        <v>0</v>
      </c>
      <c r="AC91" s="17">
        <f>-IF(AND(AC$58&gt;='CBA Inputs'!$F48,AC$58&lt;='CBA Inputs'!$G48),'CBA Inputs'!$E48/('CBA Inputs'!$G48-'CBA Inputs'!$F48+1),0)*IF(AC$58=0,0,1)*CapitalCost_ACTIVE*AC$55</f>
        <v>0</v>
      </c>
      <c r="AD91" s="17">
        <f>-IF(AND(AD$58&gt;='CBA Inputs'!$F48,AD$58&lt;='CBA Inputs'!$G48),'CBA Inputs'!$E48/('CBA Inputs'!$G48-'CBA Inputs'!$F48+1),0)*IF(AD$58=0,0,1)*CapitalCost_ACTIVE*AD$55</f>
        <v>0</v>
      </c>
      <c r="AE91" s="17">
        <f>-IF(AND(AE$58&gt;='CBA Inputs'!$F48,AE$58&lt;='CBA Inputs'!$G48),'CBA Inputs'!$E48/('CBA Inputs'!$G48-'CBA Inputs'!$F48+1),0)*IF(AE$58=0,0,1)*CapitalCost_ACTIVE*AE$55</f>
        <v>0</v>
      </c>
      <c r="AF91" s="17">
        <f>-IF(AND(AF$58&gt;='CBA Inputs'!$F48,AF$58&lt;='CBA Inputs'!$G48),'CBA Inputs'!$E48/('CBA Inputs'!$G48-'CBA Inputs'!$F48+1),0)*IF(AF$58=0,0,1)*CapitalCost_ACTIVE*AF$55</f>
        <v>0</v>
      </c>
      <c r="AG91" s="17">
        <f>-IF(AND(AG$58&gt;='CBA Inputs'!$F48,AG$58&lt;='CBA Inputs'!$G48),'CBA Inputs'!$E48/('CBA Inputs'!$G48-'CBA Inputs'!$F48+1),0)*IF(AG$58=0,0,1)*CapitalCost_ACTIVE*AG$55</f>
        <v>0</v>
      </c>
      <c r="AH91" s="17">
        <f>-IF(AND(AH$58&gt;='CBA Inputs'!$F48,AH$58&lt;='CBA Inputs'!$G48),'CBA Inputs'!$E48/('CBA Inputs'!$G48-'CBA Inputs'!$F48+1),0)*IF(AH$58=0,0,1)*CapitalCost_ACTIVE*AH$55</f>
        <v>0</v>
      </c>
      <c r="AI91" s="17">
        <f>-IF(AND(AI$58&gt;='CBA Inputs'!$F48,AI$58&lt;='CBA Inputs'!$G48),'CBA Inputs'!$E48/('CBA Inputs'!$G48-'CBA Inputs'!$F48+1),0)*IF(AI$58=0,0,1)*CapitalCost_ACTIVE*AI$55</f>
        <v>0</v>
      </c>
      <c r="AJ91" s="17">
        <f>-IF(AND(AJ$58&gt;='CBA Inputs'!$F48,AJ$58&lt;='CBA Inputs'!$G48),'CBA Inputs'!$E48/('CBA Inputs'!$G48-'CBA Inputs'!$F48+1),0)*IF(AJ$58=0,0,1)*CapitalCost_ACTIVE*AJ$55</f>
        <v>0</v>
      </c>
      <c r="AK91" s="178">
        <f>IFERROR(PMT(DiscountRate_ACTIVE,'CBA Inputs'!I48,'CBA Inputs'!E48),0)</f>
        <v>-24085763.100245625</v>
      </c>
      <c r="AM91" s="24" t="str">
        <f>'CBA Inputs'!L48</f>
        <v/>
      </c>
      <c r="AN91" s="24">
        <f>'CBA Inputs'!M48</f>
        <v>0</v>
      </c>
      <c r="AO91" s="24">
        <f>'CBA Inputs'!N48</f>
        <v>0</v>
      </c>
      <c r="AP91" s="12" t="s">
        <v>35</v>
      </c>
      <c r="AQ91" s="18">
        <f t="shared" si="29"/>
        <v>0</v>
      </c>
      <c r="AR91" s="17">
        <f>-IF(AND(G$58&gt;='CBA Inputs'!$P48,G$58&lt;='CBA Inputs'!$Q48),'CBA Inputs'!$O48/('CBA Inputs'!$Q48-'CBA Inputs'!$P48+1),0)*IF(G$58=0,0,1)*CapitalCost_ACTIVE*G$55*IF(Scenario_Select='CBA Inputs'!$T48,1,0)</f>
        <v>0</v>
      </c>
      <c r="AS91" s="17">
        <f>-IF(AND(H$58&gt;='CBA Inputs'!$P48,H$58&lt;='CBA Inputs'!$Q48),'CBA Inputs'!$O48/('CBA Inputs'!$Q48-'CBA Inputs'!$P48+1),0)*IF(H$58=0,0,1)*CapitalCost_ACTIVE*H$55*IF(Scenario_Select='CBA Inputs'!$T48,1,0)</f>
        <v>0</v>
      </c>
      <c r="AT91" s="17">
        <f>-IF(AND(I$58&gt;='CBA Inputs'!$P48,I$58&lt;='CBA Inputs'!$Q48),'CBA Inputs'!$O48/('CBA Inputs'!$Q48-'CBA Inputs'!$P48+1),0)*IF(I$58=0,0,1)*CapitalCost_ACTIVE*I$55*IF(Scenario_Select='CBA Inputs'!$T48,1,0)</f>
        <v>0</v>
      </c>
      <c r="AU91" s="17">
        <f>-IF(AND(J$58&gt;='CBA Inputs'!$P48,J$58&lt;='CBA Inputs'!$Q48),'CBA Inputs'!$O48/('CBA Inputs'!$Q48-'CBA Inputs'!$P48+1),0)*IF(J$58=0,0,1)*CapitalCost_ACTIVE*J$55*IF(Scenario_Select='CBA Inputs'!$T48,1,0)</f>
        <v>0</v>
      </c>
      <c r="AV91" s="17">
        <f>-IF(AND(K$58&gt;='CBA Inputs'!$P48,K$58&lt;='CBA Inputs'!$Q48),'CBA Inputs'!$O48/('CBA Inputs'!$Q48-'CBA Inputs'!$P48+1),0)*IF(K$58=0,0,1)*CapitalCost_ACTIVE*K$55*IF(Scenario_Select='CBA Inputs'!$T48,1,0)</f>
        <v>0</v>
      </c>
      <c r="AW91" s="17">
        <f>-IF(AND(L$58&gt;='CBA Inputs'!$P48,L$58&lt;='CBA Inputs'!$Q48),'CBA Inputs'!$O48/('CBA Inputs'!$Q48-'CBA Inputs'!$P48+1),0)*IF(L$58=0,0,1)*CapitalCost_ACTIVE*L$55*IF(Scenario_Select='CBA Inputs'!$T48,1,0)</f>
        <v>0</v>
      </c>
      <c r="AX91" s="17">
        <f>-IF(AND(M$58&gt;='CBA Inputs'!$P48,M$58&lt;='CBA Inputs'!$Q48),'CBA Inputs'!$O48/('CBA Inputs'!$Q48-'CBA Inputs'!$P48+1),0)*IF(M$58=0,0,1)*CapitalCost_ACTIVE*M$55*IF(Scenario_Select='CBA Inputs'!$T48,1,0)</f>
        <v>0</v>
      </c>
      <c r="AY91" s="17">
        <f>-IF(AND(N$58&gt;='CBA Inputs'!$P48,N$58&lt;='CBA Inputs'!$Q48),'CBA Inputs'!$O48/('CBA Inputs'!$Q48-'CBA Inputs'!$P48+1),0)*IF(N$58=0,0,1)*CapitalCost_ACTIVE*N$55*IF(Scenario_Select='CBA Inputs'!$T48,1,0)</f>
        <v>0</v>
      </c>
      <c r="AZ91" s="17">
        <f>-IF(AND(O$58&gt;='CBA Inputs'!$P48,O$58&lt;='CBA Inputs'!$Q48),'CBA Inputs'!$O48/('CBA Inputs'!$Q48-'CBA Inputs'!$P48+1),0)*IF(O$58=0,0,1)*CapitalCost_ACTIVE*O$55*IF(Scenario_Select='CBA Inputs'!$T48,1,0)</f>
        <v>0</v>
      </c>
      <c r="BA91" s="17">
        <f>-IF(AND(P$58&gt;='CBA Inputs'!$P48,P$58&lt;='CBA Inputs'!$Q48),'CBA Inputs'!$O48/('CBA Inputs'!$Q48-'CBA Inputs'!$P48+1),0)*IF(P$58=0,0,1)*CapitalCost_ACTIVE*P$55*IF(Scenario_Select='CBA Inputs'!$T48,1,0)</f>
        <v>0</v>
      </c>
      <c r="BB91" s="17">
        <f>-IF(AND(Q$58&gt;='CBA Inputs'!$P48,Q$58&lt;='CBA Inputs'!$Q48),'CBA Inputs'!$O48/('CBA Inputs'!$Q48-'CBA Inputs'!$P48+1),0)*IF(Q$58=0,0,1)*CapitalCost_ACTIVE*Q$55*IF(Scenario_Select='CBA Inputs'!$T48,1,0)</f>
        <v>0</v>
      </c>
      <c r="BC91" s="17">
        <f>-IF(AND(R$58&gt;='CBA Inputs'!$P48,R$58&lt;='CBA Inputs'!$Q48),'CBA Inputs'!$O48/('CBA Inputs'!$Q48-'CBA Inputs'!$P48+1),0)*IF(R$58=0,0,1)*CapitalCost_ACTIVE*R$55*IF(Scenario_Select='CBA Inputs'!$T48,1,0)</f>
        <v>0</v>
      </c>
      <c r="BD91" s="17">
        <f>-IF(AND(S$58&gt;='CBA Inputs'!$P48,S$58&lt;='CBA Inputs'!$Q48),'CBA Inputs'!$O48/('CBA Inputs'!$Q48-'CBA Inputs'!$P48+1),0)*IF(S$58=0,0,1)*CapitalCost_ACTIVE*S$55*IF(Scenario_Select='CBA Inputs'!$T48,1,0)</f>
        <v>0</v>
      </c>
      <c r="BE91" s="17">
        <f>-IF(AND(T$58&gt;='CBA Inputs'!$P48,T$58&lt;='CBA Inputs'!$Q48),'CBA Inputs'!$O48/('CBA Inputs'!$Q48-'CBA Inputs'!$P48+1),0)*IF(T$58=0,0,1)*CapitalCost_ACTIVE*T$55*IF(Scenario_Select='CBA Inputs'!$T48,1,0)</f>
        <v>0</v>
      </c>
      <c r="BF91" s="17">
        <f>-IF(AND(U$58&gt;='CBA Inputs'!$P48,U$58&lt;='CBA Inputs'!$Q48),'CBA Inputs'!$O48/('CBA Inputs'!$Q48-'CBA Inputs'!$P48+1),0)*IF(U$58=0,0,1)*CapitalCost_ACTIVE*U$55*IF(Scenario_Select='CBA Inputs'!$T48,1,0)</f>
        <v>0</v>
      </c>
      <c r="BG91" s="17">
        <f>-IF(AND(V$58&gt;='CBA Inputs'!$P48,V$58&lt;='CBA Inputs'!$Q48),'CBA Inputs'!$O48/('CBA Inputs'!$Q48-'CBA Inputs'!$P48+1),0)*IF(V$58=0,0,1)*CapitalCost_ACTIVE*V$55*IF(Scenario_Select='CBA Inputs'!$T48,1,0)</f>
        <v>0</v>
      </c>
      <c r="BH91" s="17">
        <f>-IF(AND(W$58&gt;='CBA Inputs'!$P48,W$58&lt;='CBA Inputs'!$Q48),'CBA Inputs'!$O48/('CBA Inputs'!$Q48-'CBA Inputs'!$P48+1),0)*IF(W$58=0,0,1)*CapitalCost_ACTIVE*W$55*IF(Scenario_Select='CBA Inputs'!$T48,1,0)</f>
        <v>0</v>
      </c>
      <c r="BI91" s="17">
        <f>-IF(AND(X$58&gt;='CBA Inputs'!$P48,X$58&lt;='CBA Inputs'!$Q48),'CBA Inputs'!$O48/('CBA Inputs'!$Q48-'CBA Inputs'!$P48+1),0)*IF(X$58=0,0,1)*CapitalCost_ACTIVE*X$55*IF(Scenario_Select='CBA Inputs'!$T48,1,0)</f>
        <v>0</v>
      </c>
      <c r="BJ91" s="17">
        <f>-IF(AND(Y$58&gt;='CBA Inputs'!$P48,Y$58&lt;='CBA Inputs'!$Q48),'CBA Inputs'!$O48/('CBA Inputs'!$Q48-'CBA Inputs'!$P48+1),0)*IF(Y$58=0,0,1)*CapitalCost_ACTIVE*Y$55*IF(Scenario_Select='CBA Inputs'!$T48,1,0)</f>
        <v>0</v>
      </c>
      <c r="BK91" s="17">
        <f>-IF(AND(Z$58&gt;='CBA Inputs'!$P48,Z$58&lt;='CBA Inputs'!$Q48),'CBA Inputs'!$O48/('CBA Inputs'!$Q48-'CBA Inputs'!$P48+1),0)*IF(Z$58=0,0,1)*CapitalCost_ACTIVE*Z$55*IF(Scenario_Select='CBA Inputs'!$T48,1,0)</f>
        <v>0</v>
      </c>
      <c r="BL91" s="17">
        <f>-IF(AND(AA$58&gt;='CBA Inputs'!$P48,AA$58&lt;='CBA Inputs'!$Q48),'CBA Inputs'!$O48/('CBA Inputs'!$Q48-'CBA Inputs'!$P48+1),0)*IF(AA$58=0,0,1)*CapitalCost_ACTIVE*AA$55*IF(Scenario_Select='CBA Inputs'!$T48,1,0)</f>
        <v>0</v>
      </c>
      <c r="BM91" s="17">
        <f>-IF(AND(AB$58&gt;='CBA Inputs'!$P48,AB$58&lt;='CBA Inputs'!$Q48),'CBA Inputs'!$O48/('CBA Inputs'!$Q48-'CBA Inputs'!$P48+1),0)*IF(AB$58=0,0,1)*CapitalCost_ACTIVE*AB$55*IF(Scenario_Select='CBA Inputs'!$T48,1,0)</f>
        <v>0</v>
      </c>
      <c r="BN91" s="17">
        <f>-IF(AND(AC$58&gt;='CBA Inputs'!$P48,AC$58&lt;='CBA Inputs'!$Q48),'CBA Inputs'!$O48/('CBA Inputs'!$Q48-'CBA Inputs'!$P48+1),0)*IF(AC$58=0,0,1)*CapitalCost_ACTIVE*AC$55*IF(Scenario_Select='CBA Inputs'!$T48,1,0)</f>
        <v>0</v>
      </c>
      <c r="BO91" s="17">
        <f>-IF(AND(AD$58&gt;='CBA Inputs'!$P48,AD$58&lt;='CBA Inputs'!$Q48),'CBA Inputs'!$O48/('CBA Inputs'!$Q48-'CBA Inputs'!$P48+1),0)*IF(AD$58=0,0,1)*CapitalCost_ACTIVE*AD$55*IF(Scenario_Select='CBA Inputs'!$T48,1,0)</f>
        <v>0</v>
      </c>
      <c r="BP91" s="17">
        <f>-IF(AND(AE$58&gt;='CBA Inputs'!$P48,AE$58&lt;='CBA Inputs'!$Q48),'CBA Inputs'!$O48/('CBA Inputs'!$Q48-'CBA Inputs'!$P48+1),0)*IF(AE$58=0,0,1)*CapitalCost_ACTIVE*AE$55*IF(Scenario_Select='CBA Inputs'!$T48,1,0)</f>
        <v>0</v>
      </c>
      <c r="BQ91" s="17">
        <f>-IF(AND(AF$58&gt;='CBA Inputs'!$P48,AF$58&lt;='CBA Inputs'!$Q48),'CBA Inputs'!$O48/('CBA Inputs'!$Q48-'CBA Inputs'!$P48+1),0)*IF(AF$58=0,0,1)*CapitalCost_ACTIVE*AF$55*IF(Scenario_Select='CBA Inputs'!$T48,1,0)</f>
        <v>0</v>
      </c>
      <c r="BR91" s="17">
        <f>-IF(AND(AG$58&gt;='CBA Inputs'!$P48,AG$58&lt;='CBA Inputs'!$Q48),'CBA Inputs'!$O48/('CBA Inputs'!$Q48-'CBA Inputs'!$P48+1),0)*IF(AG$58=0,0,1)*CapitalCost_ACTIVE*AG$55*IF(Scenario_Select='CBA Inputs'!$T48,1,0)</f>
        <v>0</v>
      </c>
      <c r="BS91" s="17">
        <f>-IF(AND(AH$58&gt;='CBA Inputs'!$P48,AH$58&lt;='CBA Inputs'!$Q48),'CBA Inputs'!$O48/('CBA Inputs'!$Q48-'CBA Inputs'!$P48+1),0)*IF(AH$58=0,0,1)*CapitalCost_ACTIVE*AH$55*IF(Scenario_Select='CBA Inputs'!$T48,1,0)</f>
        <v>0</v>
      </c>
      <c r="BT91" s="17">
        <f>-IF(AND(AI$58&gt;='CBA Inputs'!$P48,AI$58&lt;='CBA Inputs'!$Q48),'CBA Inputs'!$O48/('CBA Inputs'!$Q48-'CBA Inputs'!$P48+1),0)*IF(AI$58=0,0,1)*CapitalCost_ACTIVE*AI$55*IF(Scenario_Select='CBA Inputs'!$T48,1,0)</f>
        <v>0</v>
      </c>
      <c r="BU91" s="17">
        <f>-IF(AND(AJ$58&gt;='CBA Inputs'!$P48,AJ$58&lt;='CBA Inputs'!$Q48),'CBA Inputs'!$O48/('CBA Inputs'!$Q48-'CBA Inputs'!$P48+1),0)*IF(AJ$58=0,0,1)*CapitalCost_ACTIVE*AJ$55*IF(Scenario_Select='CBA Inputs'!$T48,1,0)</f>
        <v>0</v>
      </c>
      <c r="BV91" s="178">
        <f>IFERROR(PMT(DiscountRate_ACTIVE,'CBA Inputs'!S48,'CBA Inputs'!O48),0)*IF(Scenario_Select='CBA Inputs'!$T48,1,0)</f>
        <v>0</v>
      </c>
    </row>
    <row r="92" spans="2:74" x14ac:dyDescent="0.35">
      <c r="B92" s="24">
        <f>+'CBA Inputs'!B49</f>
        <v>12</v>
      </c>
      <c r="C92" s="25" t="str">
        <f>+'CBA Inputs'!C49</f>
        <v>Option 4C</v>
      </c>
      <c r="D92" s="25" t="str">
        <f>'CBA Inputs'!D49</f>
        <v>Substation</v>
      </c>
      <c r="E92" s="12" t="s">
        <v>35</v>
      </c>
      <c r="F92" s="18">
        <f t="shared" si="28"/>
        <v>-123803421.89000802</v>
      </c>
      <c r="G92" s="17">
        <f>-IF(AND(G$58&gt;='CBA Inputs'!$F49,G$58&lt;='CBA Inputs'!$G49),'CBA Inputs'!$E49/('CBA Inputs'!$G49-'CBA Inputs'!$F49+1),0)*IF(G$58=0,0,1)*CapitalCost_ACTIVE*G$55</f>
        <v>0</v>
      </c>
      <c r="H92" s="17">
        <f>-IF(AND(H$58&gt;='CBA Inputs'!$F49,H$58&lt;='CBA Inputs'!$G49),'CBA Inputs'!$E49/('CBA Inputs'!$G49-'CBA Inputs'!$F49+1),0)*IF(H$58=0,0,1)*CapitalCost_ACTIVE*H$55</f>
        <v>0</v>
      </c>
      <c r="I92" s="17">
        <f>-IF(AND(I$58&gt;='CBA Inputs'!$F49,I$58&lt;='CBA Inputs'!$G49),'CBA Inputs'!$E49/('CBA Inputs'!$G49-'CBA Inputs'!$F49+1),0)*IF(I$58=0,0,1)*CapitalCost_ACTIVE*I$55</f>
        <v>-37750000</v>
      </c>
      <c r="J92" s="17">
        <f>-IF(AND(J$58&gt;='CBA Inputs'!$F49,J$58&lt;='CBA Inputs'!$G49),'CBA Inputs'!$E49/('CBA Inputs'!$G49-'CBA Inputs'!$F49+1),0)*IF(J$58=0,0,1)*CapitalCost_ACTIVE*J$55</f>
        <v>-37750000</v>
      </c>
      <c r="K92" s="17">
        <f>-IF(AND(K$58&gt;='CBA Inputs'!$F49,K$58&lt;='CBA Inputs'!$G49),'CBA Inputs'!$E49/('CBA Inputs'!$G49-'CBA Inputs'!$F49+1),0)*IF(K$58=0,0,1)*CapitalCost_ACTIVE*K$55</f>
        <v>-37750000</v>
      </c>
      <c r="L92" s="17">
        <f>-IF(AND(L$58&gt;='CBA Inputs'!$F49,L$58&lt;='CBA Inputs'!$G49),'CBA Inputs'!$E49/('CBA Inputs'!$G49-'CBA Inputs'!$F49+1),0)*IF(L$58=0,0,1)*CapitalCost_ACTIVE*L$55</f>
        <v>-37750000</v>
      </c>
      <c r="M92" s="17">
        <f>-IF(AND(M$58&gt;='CBA Inputs'!$F49,M$58&lt;='CBA Inputs'!$G49),'CBA Inputs'!$E49/('CBA Inputs'!$G49-'CBA Inputs'!$F49+1),0)*IF(M$58=0,0,1)*CapitalCost_ACTIVE*M$55</f>
        <v>0</v>
      </c>
      <c r="N92" s="17">
        <f>-IF(AND(N$58&gt;='CBA Inputs'!$F49,N$58&lt;='CBA Inputs'!$G49),'CBA Inputs'!$E49/('CBA Inputs'!$G49-'CBA Inputs'!$F49+1),0)*IF(N$58=0,0,1)*CapitalCost_ACTIVE*N$55</f>
        <v>0</v>
      </c>
      <c r="O92" s="17">
        <f>-IF(AND(O$58&gt;='CBA Inputs'!$F49,O$58&lt;='CBA Inputs'!$G49),'CBA Inputs'!$E49/('CBA Inputs'!$G49-'CBA Inputs'!$F49+1),0)*IF(O$58=0,0,1)*CapitalCost_ACTIVE*O$55</f>
        <v>0</v>
      </c>
      <c r="P92" s="17">
        <f>-IF(AND(P$58&gt;='CBA Inputs'!$F49,P$58&lt;='CBA Inputs'!$G49),'CBA Inputs'!$E49/('CBA Inputs'!$G49-'CBA Inputs'!$F49+1),0)*IF(P$58=0,0,1)*CapitalCost_ACTIVE*P$55</f>
        <v>0</v>
      </c>
      <c r="Q92" s="17">
        <f>-IF(AND(Q$58&gt;='CBA Inputs'!$F49,Q$58&lt;='CBA Inputs'!$G49),'CBA Inputs'!$E49/('CBA Inputs'!$G49-'CBA Inputs'!$F49+1),0)*IF(Q$58=0,0,1)*CapitalCost_ACTIVE*Q$55</f>
        <v>0</v>
      </c>
      <c r="R92" s="17">
        <f>-IF(AND(R$58&gt;='CBA Inputs'!$F49,R$58&lt;='CBA Inputs'!$G49),'CBA Inputs'!$E49/('CBA Inputs'!$G49-'CBA Inputs'!$F49+1),0)*IF(R$58=0,0,1)*CapitalCost_ACTIVE*R$55</f>
        <v>0</v>
      </c>
      <c r="S92" s="17">
        <f>-IF(AND(S$58&gt;='CBA Inputs'!$F49,S$58&lt;='CBA Inputs'!$G49),'CBA Inputs'!$E49/('CBA Inputs'!$G49-'CBA Inputs'!$F49+1),0)*IF(S$58=0,0,1)*CapitalCost_ACTIVE*S$55</f>
        <v>0</v>
      </c>
      <c r="T92" s="17">
        <f>-IF(AND(T$58&gt;='CBA Inputs'!$F49,T$58&lt;='CBA Inputs'!$G49),'CBA Inputs'!$E49/('CBA Inputs'!$G49-'CBA Inputs'!$F49+1),0)*IF(T$58=0,0,1)*CapitalCost_ACTIVE*T$55</f>
        <v>0</v>
      </c>
      <c r="U92" s="17">
        <f>-IF(AND(U$58&gt;='CBA Inputs'!$F49,U$58&lt;='CBA Inputs'!$G49),'CBA Inputs'!$E49/('CBA Inputs'!$G49-'CBA Inputs'!$F49+1),0)*IF(U$58=0,0,1)*CapitalCost_ACTIVE*U$55</f>
        <v>0</v>
      </c>
      <c r="V92" s="17">
        <f>-IF(AND(V$58&gt;='CBA Inputs'!$F49,V$58&lt;='CBA Inputs'!$G49),'CBA Inputs'!$E49/('CBA Inputs'!$G49-'CBA Inputs'!$F49+1),0)*IF(V$58=0,0,1)*CapitalCost_ACTIVE*V$55</f>
        <v>0</v>
      </c>
      <c r="W92" s="17">
        <f>-IF(AND(W$58&gt;='CBA Inputs'!$F49,W$58&lt;='CBA Inputs'!$G49),'CBA Inputs'!$E49/('CBA Inputs'!$G49-'CBA Inputs'!$F49+1),0)*IF(W$58=0,0,1)*CapitalCost_ACTIVE*W$55</f>
        <v>0</v>
      </c>
      <c r="X92" s="17">
        <f>-IF(AND(X$58&gt;='CBA Inputs'!$F49,X$58&lt;='CBA Inputs'!$G49),'CBA Inputs'!$E49/('CBA Inputs'!$G49-'CBA Inputs'!$F49+1),0)*IF(X$58=0,0,1)*CapitalCost_ACTIVE*X$55</f>
        <v>0</v>
      </c>
      <c r="Y92" s="17">
        <f>-IF(AND(Y$58&gt;='CBA Inputs'!$F49,Y$58&lt;='CBA Inputs'!$G49),'CBA Inputs'!$E49/('CBA Inputs'!$G49-'CBA Inputs'!$F49+1),0)*IF(Y$58=0,0,1)*CapitalCost_ACTIVE*Y$55</f>
        <v>0</v>
      </c>
      <c r="Z92" s="17">
        <f>-IF(AND(Z$58&gt;='CBA Inputs'!$F49,Z$58&lt;='CBA Inputs'!$G49),'CBA Inputs'!$E49/('CBA Inputs'!$G49-'CBA Inputs'!$F49+1),0)*IF(Z$58=0,0,1)*CapitalCost_ACTIVE*Z$55</f>
        <v>0</v>
      </c>
      <c r="AA92" s="17">
        <f>-IF(AND(AA$58&gt;='CBA Inputs'!$F49,AA$58&lt;='CBA Inputs'!$G49),'CBA Inputs'!$E49/('CBA Inputs'!$G49-'CBA Inputs'!$F49+1),0)*IF(AA$58=0,0,1)*CapitalCost_ACTIVE*AA$55</f>
        <v>0</v>
      </c>
      <c r="AB92" s="17">
        <f>-IF(AND(AB$58&gt;='CBA Inputs'!$F49,AB$58&lt;='CBA Inputs'!$G49),'CBA Inputs'!$E49/('CBA Inputs'!$G49-'CBA Inputs'!$F49+1),0)*IF(AB$58=0,0,1)*CapitalCost_ACTIVE*AB$55</f>
        <v>0</v>
      </c>
      <c r="AC92" s="17">
        <f>-IF(AND(AC$58&gt;='CBA Inputs'!$F49,AC$58&lt;='CBA Inputs'!$G49),'CBA Inputs'!$E49/('CBA Inputs'!$G49-'CBA Inputs'!$F49+1),0)*IF(AC$58=0,0,1)*CapitalCost_ACTIVE*AC$55</f>
        <v>0</v>
      </c>
      <c r="AD92" s="17">
        <f>-IF(AND(AD$58&gt;='CBA Inputs'!$F49,AD$58&lt;='CBA Inputs'!$G49),'CBA Inputs'!$E49/('CBA Inputs'!$G49-'CBA Inputs'!$F49+1),0)*IF(AD$58=0,0,1)*CapitalCost_ACTIVE*AD$55</f>
        <v>0</v>
      </c>
      <c r="AE92" s="17">
        <f>-IF(AND(AE$58&gt;='CBA Inputs'!$F49,AE$58&lt;='CBA Inputs'!$G49),'CBA Inputs'!$E49/('CBA Inputs'!$G49-'CBA Inputs'!$F49+1),0)*IF(AE$58=0,0,1)*CapitalCost_ACTIVE*AE$55</f>
        <v>0</v>
      </c>
      <c r="AF92" s="17">
        <f>-IF(AND(AF$58&gt;='CBA Inputs'!$F49,AF$58&lt;='CBA Inputs'!$G49),'CBA Inputs'!$E49/('CBA Inputs'!$G49-'CBA Inputs'!$F49+1),0)*IF(AF$58=0,0,1)*CapitalCost_ACTIVE*AF$55</f>
        <v>0</v>
      </c>
      <c r="AG92" s="17">
        <f>-IF(AND(AG$58&gt;='CBA Inputs'!$F49,AG$58&lt;='CBA Inputs'!$G49),'CBA Inputs'!$E49/('CBA Inputs'!$G49-'CBA Inputs'!$F49+1),0)*IF(AG$58=0,0,1)*CapitalCost_ACTIVE*AG$55</f>
        <v>0</v>
      </c>
      <c r="AH92" s="17">
        <f>-IF(AND(AH$58&gt;='CBA Inputs'!$F49,AH$58&lt;='CBA Inputs'!$G49),'CBA Inputs'!$E49/('CBA Inputs'!$G49-'CBA Inputs'!$F49+1),0)*IF(AH$58=0,0,1)*CapitalCost_ACTIVE*AH$55</f>
        <v>0</v>
      </c>
      <c r="AI92" s="17">
        <f>-IF(AND(AI$58&gt;='CBA Inputs'!$F49,AI$58&lt;='CBA Inputs'!$G49),'CBA Inputs'!$E49/('CBA Inputs'!$G49-'CBA Inputs'!$F49+1),0)*IF(AI$58=0,0,1)*CapitalCost_ACTIVE*AI$55</f>
        <v>0</v>
      </c>
      <c r="AJ92" s="17">
        <f>-IF(AND(AJ$58&gt;='CBA Inputs'!$F49,AJ$58&lt;='CBA Inputs'!$G49),'CBA Inputs'!$E49/('CBA Inputs'!$G49-'CBA Inputs'!$F49+1),0)*IF(AJ$58=0,0,1)*CapitalCost_ACTIVE*AJ$55</f>
        <v>0</v>
      </c>
      <c r="AK92" s="178">
        <f>IFERROR(PMT(DiscountRate_ACTIVE,'CBA Inputs'!I49,'CBA Inputs'!E49),0)</f>
        <v>-9909490.3773540799</v>
      </c>
      <c r="AM92" s="24" t="str">
        <f>'CBA Inputs'!L49</f>
        <v/>
      </c>
      <c r="AN92" s="24">
        <f>'CBA Inputs'!M49</f>
        <v>0</v>
      </c>
      <c r="AO92" s="24">
        <f>'CBA Inputs'!N49</f>
        <v>0</v>
      </c>
      <c r="AP92" s="12" t="s">
        <v>35</v>
      </c>
      <c r="AQ92" s="18">
        <f t="shared" si="29"/>
        <v>0</v>
      </c>
      <c r="AR92" s="17">
        <f>-IF(AND(G$58&gt;='CBA Inputs'!$P49,G$58&lt;='CBA Inputs'!$Q49),'CBA Inputs'!$O49/('CBA Inputs'!$Q49-'CBA Inputs'!$P49+1),0)*IF(G$58=0,0,1)*CapitalCost_ACTIVE*G$55*IF(Scenario_Select='CBA Inputs'!$T49,1,0)</f>
        <v>0</v>
      </c>
      <c r="AS92" s="17">
        <f>-IF(AND(H$58&gt;='CBA Inputs'!$P49,H$58&lt;='CBA Inputs'!$Q49),'CBA Inputs'!$O49/('CBA Inputs'!$Q49-'CBA Inputs'!$P49+1),0)*IF(H$58=0,0,1)*CapitalCost_ACTIVE*H$55*IF(Scenario_Select='CBA Inputs'!$T49,1,0)</f>
        <v>0</v>
      </c>
      <c r="AT92" s="17">
        <f>-IF(AND(I$58&gt;='CBA Inputs'!$P49,I$58&lt;='CBA Inputs'!$Q49),'CBA Inputs'!$O49/('CBA Inputs'!$Q49-'CBA Inputs'!$P49+1),0)*IF(I$58=0,0,1)*CapitalCost_ACTIVE*I$55*IF(Scenario_Select='CBA Inputs'!$T49,1,0)</f>
        <v>0</v>
      </c>
      <c r="AU92" s="17">
        <f>-IF(AND(J$58&gt;='CBA Inputs'!$P49,J$58&lt;='CBA Inputs'!$Q49),'CBA Inputs'!$O49/('CBA Inputs'!$Q49-'CBA Inputs'!$P49+1),0)*IF(J$58=0,0,1)*CapitalCost_ACTIVE*J$55*IF(Scenario_Select='CBA Inputs'!$T49,1,0)</f>
        <v>0</v>
      </c>
      <c r="AV92" s="17">
        <f>-IF(AND(K$58&gt;='CBA Inputs'!$P49,K$58&lt;='CBA Inputs'!$Q49),'CBA Inputs'!$O49/('CBA Inputs'!$Q49-'CBA Inputs'!$P49+1),0)*IF(K$58=0,0,1)*CapitalCost_ACTIVE*K$55*IF(Scenario_Select='CBA Inputs'!$T49,1,0)</f>
        <v>0</v>
      </c>
      <c r="AW92" s="17">
        <f>-IF(AND(L$58&gt;='CBA Inputs'!$P49,L$58&lt;='CBA Inputs'!$Q49),'CBA Inputs'!$O49/('CBA Inputs'!$Q49-'CBA Inputs'!$P49+1),0)*IF(L$58=0,0,1)*CapitalCost_ACTIVE*L$55*IF(Scenario_Select='CBA Inputs'!$T49,1,0)</f>
        <v>0</v>
      </c>
      <c r="AX92" s="17">
        <f>-IF(AND(M$58&gt;='CBA Inputs'!$P49,M$58&lt;='CBA Inputs'!$Q49),'CBA Inputs'!$O49/('CBA Inputs'!$Q49-'CBA Inputs'!$P49+1),0)*IF(M$58=0,0,1)*CapitalCost_ACTIVE*M$55*IF(Scenario_Select='CBA Inputs'!$T49,1,0)</f>
        <v>0</v>
      </c>
      <c r="AY92" s="17">
        <f>-IF(AND(N$58&gt;='CBA Inputs'!$P49,N$58&lt;='CBA Inputs'!$Q49),'CBA Inputs'!$O49/('CBA Inputs'!$Q49-'CBA Inputs'!$P49+1),0)*IF(N$58=0,0,1)*CapitalCost_ACTIVE*N$55*IF(Scenario_Select='CBA Inputs'!$T49,1,0)</f>
        <v>0</v>
      </c>
      <c r="AZ92" s="17">
        <f>-IF(AND(O$58&gt;='CBA Inputs'!$P49,O$58&lt;='CBA Inputs'!$Q49),'CBA Inputs'!$O49/('CBA Inputs'!$Q49-'CBA Inputs'!$P49+1),0)*IF(O$58=0,0,1)*CapitalCost_ACTIVE*O$55*IF(Scenario_Select='CBA Inputs'!$T49,1,0)</f>
        <v>0</v>
      </c>
      <c r="BA92" s="17">
        <f>-IF(AND(P$58&gt;='CBA Inputs'!$P49,P$58&lt;='CBA Inputs'!$Q49),'CBA Inputs'!$O49/('CBA Inputs'!$Q49-'CBA Inputs'!$P49+1),0)*IF(P$58=0,0,1)*CapitalCost_ACTIVE*P$55*IF(Scenario_Select='CBA Inputs'!$T49,1,0)</f>
        <v>0</v>
      </c>
      <c r="BB92" s="17">
        <f>-IF(AND(Q$58&gt;='CBA Inputs'!$P49,Q$58&lt;='CBA Inputs'!$Q49),'CBA Inputs'!$O49/('CBA Inputs'!$Q49-'CBA Inputs'!$P49+1),0)*IF(Q$58=0,0,1)*CapitalCost_ACTIVE*Q$55*IF(Scenario_Select='CBA Inputs'!$T49,1,0)</f>
        <v>0</v>
      </c>
      <c r="BC92" s="17">
        <f>-IF(AND(R$58&gt;='CBA Inputs'!$P49,R$58&lt;='CBA Inputs'!$Q49),'CBA Inputs'!$O49/('CBA Inputs'!$Q49-'CBA Inputs'!$P49+1),0)*IF(R$58=0,0,1)*CapitalCost_ACTIVE*R$55*IF(Scenario_Select='CBA Inputs'!$T49,1,0)</f>
        <v>0</v>
      </c>
      <c r="BD92" s="17">
        <f>-IF(AND(S$58&gt;='CBA Inputs'!$P49,S$58&lt;='CBA Inputs'!$Q49),'CBA Inputs'!$O49/('CBA Inputs'!$Q49-'CBA Inputs'!$P49+1),0)*IF(S$58=0,0,1)*CapitalCost_ACTIVE*S$55*IF(Scenario_Select='CBA Inputs'!$T49,1,0)</f>
        <v>0</v>
      </c>
      <c r="BE92" s="17">
        <f>-IF(AND(T$58&gt;='CBA Inputs'!$P49,T$58&lt;='CBA Inputs'!$Q49),'CBA Inputs'!$O49/('CBA Inputs'!$Q49-'CBA Inputs'!$P49+1),0)*IF(T$58=0,0,1)*CapitalCost_ACTIVE*T$55*IF(Scenario_Select='CBA Inputs'!$T49,1,0)</f>
        <v>0</v>
      </c>
      <c r="BF92" s="17">
        <f>-IF(AND(U$58&gt;='CBA Inputs'!$P49,U$58&lt;='CBA Inputs'!$Q49),'CBA Inputs'!$O49/('CBA Inputs'!$Q49-'CBA Inputs'!$P49+1),0)*IF(U$58=0,0,1)*CapitalCost_ACTIVE*U$55*IF(Scenario_Select='CBA Inputs'!$T49,1,0)</f>
        <v>0</v>
      </c>
      <c r="BG92" s="17">
        <f>-IF(AND(V$58&gt;='CBA Inputs'!$P49,V$58&lt;='CBA Inputs'!$Q49),'CBA Inputs'!$O49/('CBA Inputs'!$Q49-'CBA Inputs'!$P49+1),0)*IF(V$58=0,0,1)*CapitalCost_ACTIVE*V$55*IF(Scenario_Select='CBA Inputs'!$T49,1,0)</f>
        <v>0</v>
      </c>
      <c r="BH92" s="17">
        <f>-IF(AND(W$58&gt;='CBA Inputs'!$P49,W$58&lt;='CBA Inputs'!$Q49),'CBA Inputs'!$O49/('CBA Inputs'!$Q49-'CBA Inputs'!$P49+1),0)*IF(W$58=0,0,1)*CapitalCost_ACTIVE*W$55*IF(Scenario_Select='CBA Inputs'!$T49,1,0)</f>
        <v>0</v>
      </c>
      <c r="BI92" s="17">
        <f>-IF(AND(X$58&gt;='CBA Inputs'!$P49,X$58&lt;='CBA Inputs'!$Q49),'CBA Inputs'!$O49/('CBA Inputs'!$Q49-'CBA Inputs'!$P49+1),0)*IF(X$58=0,0,1)*CapitalCost_ACTIVE*X$55*IF(Scenario_Select='CBA Inputs'!$T49,1,0)</f>
        <v>0</v>
      </c>
      <c r="BJ92" s="17">
        <f>-IF(AND(Y$58&gt;='CBA Inputs'!$P49,Y$58&lt;='CBA Inputs'!$Q49),'CBA Inputs'!$O49/('CBA Inputs'!$Q49-'CBA Inputs'!$P49+1),0)*IF(Y$58=0,0,1)*CapitalCost_ACTIVE*Y$55*IF(Scenario_Select='CBA Inputs'!$T49,1,0)</f>
        <v>0</v>
      </c>
      <c r="BK92" s="17">
        <f>-IF(AND(Z$58&gt;='CBA Inputs'!$P49,Z$58&lt;='CBA Inputs'!$Q49),'CBA Inputs'!$O49/('CBA Inputs'!$Q49-'CBA Inputs'!$P49+1),0)*IF(Z$58=0,0,1)*CapitalCost_ACTIVE*Z$55*IF(Scenario_Select='CBA Inputs'!$T49,1,0)</f>
        <v>0</v>
      </c>
      <c r="BL92" s="17">
        <f>-IF(AND(AA$58&gt;='CBA Inputs'!$P49,AA$58&lt;='CBA Inputs'!$Q49),'CBA Inputs'!$O49/('CBA Inputs'!$Q49-'CBA Inputs'!$P49+1),0)*IF(AA$58=0,0,1)*CapitalCost_ACTIVE*AA$55*IF(Scenario_Select='CBA Inputs'!$T49,1,0)</f>
        <v>0</v>
      </c>
      <c r="BM92" s="17">
        <f>-IF(AND(AB$58&gt;='CBA Inputs'!$P49,AB$58&lt;='CBA Inputs'!$Q49),'CBA Inputs'!$O49/('CBA Inputs'!$Q49-'CBA Inputs'!$P49+1),0)*IF(AB$58=0,0,1)*CapitalCost_ACTIVE*AB$55*IF(Scenario_Select='CBA Inputs'!$T49,1,0)</f>
        <v>0</v>
      </c>
      <c r="BN92" s="17">
        <f>-IF(AND(AC$58&gt;='CBA Inputs'!$P49,AC$58&lt;='CBA Inputs'!$Q49),'CBA Inputs'!$O49/('CBA Inputs'!$Q49-'CBA Inputs'!$P49+1),0)*IF(AC$58=0,0,1)*CapitalCost_ACTIVE*AC$55*IF(Scenario_Select='CBA Inputs'!$T49,1,0)</f>
        <v>0</v>
      </c>
      <c r="BO92" s="17">
        <f>-IF(AND(AD$58&gt;='CBA Inputs'!$P49,AD$58&lt;='CBA Inputs'!$Q49),'CBA Inputs'!$O49/('CBA Inputs'!$Q49-'CBA Inputs'!$P49+1),0)*IF(AD$58=0,0,1)*CapitalCost_ACTIVE*AD$55*IF(Scenario_Select='CBA Inputs'!$T49,1,0)</f>
        <v>0</v>
      </c>
      <c r="BP92" s="17">
        <f>-IF(AND(AE$58&gt;='CBA Inputs'!$P49,AE$58&lt;='CBA Inputs'!$Q49),'CBA Inputs'!$O49/('CBA Inputs'!$Q49-'CBA Inputs'!$P49+1),0)*IF(AE$58=0,0,1)*CapitalCost_ACTIVE*AE$55*IF(Scenario_Select='CBA Inputs'!$T49,1,0)</f>
        <v>0</v>
      </c>
      <c r="BQ92" s="17">
        <f>-IF(AND(AF$58&gt;='CBA Inputs'!$P49,AF$58&lt;='CBA Inputs'!$Q49),'CBA Inputs'!$O49/('CBA Inputs'!$Q49-'CBA Inputs'!$P49+1),0)*IF(AF$58=0,0,1)*CapitalCost_ACTIVE*AF$55*IF(Scenario_Select='CBA Inputs'!$T49,1,0)</f>
        <v>0</v>
      </c>
      <c r="BR92" s="17">
        <f>-IF(AND(AG$58&gt;='CBA Inputs'!$P49,AG$58&lt;='CBA Inputs'!$Q49),'CBA Inputs'!$O49/('CBA Inputs'!$Q49-'CBA Inputs'!$P49+1),0)*IF(AG$58=0,0,1)*CapitalCost_ACTIVE*AG$55*IF(Scenario_Select='CBA Inputs'!$T49,1,0)</f>
        <v>0</v>
      </c>
      <c r="BS92" s="17">
        <f>-IF(AND(AH$58&gt;='CBA Inputs'!$P49,AH$58&lt;='CBA Inputs'!$Q49),'CBA Inputs'!$O49/('CBA Inputs'!$Q49-'CBA Inputs'!$P49+1),0)*IF(AH$58=0,0,1)*CapitalCost_ACTIVE*AH$55*IF(Scenario_Select='CBA Inputs'!$T49,1,0)</f>
        <v>0</v>
      </c>
      <c r="BT92" s="17">
        <f>-IF(AND(AI$58&gt;='CBA Inputs'!$P49,AI$58&lt;='CBA Inputs'!$Q49),'CBA Inputs'!$O49/('CBA Inputs'!$Q49-'CBA Inputs'!$P49+1),0)*IF(AI$58=0,0,1)*CapitalCost_ACTIVE*AI$55*IF(Scenario_Select='CBA Inputs'!$T49,1,0)</f>
        <v>0</v>
      </c>
      <c r="BU92" s="17">
        <f>-IF(AND(AJ$58&gt;='CBA Inputs'!$P49,AJ$58&lt;='CBA Inputs'!$Q49),'CBA Inputs'!$O49/('CBA Inputs'!$Q49-'CBA Inputs'!$P49+1),0)*IF(AJ$58=0,0,1)*CapitalCost_ACTIVE*AJ$55*IF(Scenario_Select='CBA Inputs'!$T49,1,0)</f>
        <v>0</v>
      </c>
      <c r="BV92" s="178">
        <f>IFERROR(PMT(DiscountRate_ACTIVE,'CBA Inputs'!S49,'CBA Inputs'!O49),0)*IF(Scenario_Select='CBA Inputs'!$T49,1,0)</f>
        <v>0</v>
      </c>
    </row>
    <row r="93" spans="2:74" x14ac:dyDescent="0.35">
      <c r="AN93" s="29"/>
      <c r="AO93" s="29"/>
    </row>
    <row r="94" spans="2:74" x14ac:dyDescent="0.35">
      <c r="B94" s="5" t="s">
        <v>47</v>
      </c>
      <c r="C94" s="28"/>
      <c r="D94" s="28"/>
      <c r="E94" s="5"/>
      <c r="F94" s="146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M94" s="5" t="s">
        <v>139</v>
      </c>
      <c r="AN94" s="28"/>
      <c r="AO94" s="28"/>
      <c r="AP94" s="5"/>
      <c r="AQ94" s="146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</row>
    <row r="95" spans="2:74" x14ac:dyDescent="0.35">
      <c r="B95" s="7" t="str">
        <f t="shared" ref="B95:C125" si="30">+B62</f>
        <v>Number</v>
      </c>
      <c r="C95" s="10" t="str">
        <f t="shared" si="30"/>
        <v>Option name</v>
      </c>
      <c r="D95" s="10" t="s">
        <v>53</v>
      </c>
      <c r="E95" s="8" t="str">
        <f>+E62</f>
        <v>Units</v>
      </c>
      <c r="F95" s="8" t="str">
        <f>+F62</f>
        <v>PV</v>
      </c>
      <c r="G95" s="13" t="str">
        <f>G$56</f>
        <v>FY 2019-20</v>
      </c>
      <c r="H95" s="13" t="str">
        <f t="shared" ref="H95:AJ95" si="31">H$56</f>
        <v>FY 2020-21</v>
      </c>
      <c r="I95" s="13" t="str">
        <f t="shared" si="31"/>
        <v>FY 2021-22</v>
      </c>
      <c r="J95" s="13" t="str">
        <f t="shared" si="31"/>
        <v>FY 2022-23</v>
      </c>
      <c r="K95" s="13" t="str">
        <f t="shared" si="31"/>
        <v>FY 2023-24</v>
      </c>
      <c r="L95" s="13" t="str">
        <f t="shared" si="31"/>
        <v>FY 2024-25</v>
      </c>
      <c r="M95" s="13" t="str">
        <f t="shared" si="31"/>
        <v>FY 2025-26</v>
      </c>
      <c r="N95" s="13" t="str">
        <f t="shared" si="31"/>
        <v>FY 2026-27</v>
      </c>
      <c r="O95" s="13" t="str">
        <f t="shared" si="31"/>
        <v>FY 2027-28</v>
      </c>
      <c r="P95" s="13" t="str">
        <f t="shared" si="31"/>
        <v>FY 2028-29</v>
      </c>
      <c r="Q95" s="13" t="str">
        <f t="shared" si="31"/>
        <v>FY 2029-30</v>
      </c>
      <c r="R95" s="13" t="str">
        <f t="shared" si="31"/>
        <v>FY 2030-31</v>
      </c>
      <c r="S95" s="13" t="str">
        <f t="shared" si="31"/>
        <v>FY 2031-32</v>
      </c>
      <c r="T95" s="13" t="str">
        <f t="shared" si="31"/>
        <v>FY 2032-33</v>
      </c>
      <c r="U95" s="13" t="str">
        <f t="shared" si="31"/>
        <v>FY 2033-34</v>
      </c>
      <c r="V95" s="13" t="str">
        <f t="shared" si="31"/>
        <v>FY 2034-35</v>
      </c>
      <c r="W95" s="13" t="str">
        <f t="shared" si="31"/>
        <v>FY 2035-36</v>
      </c>
      <c r="X95" s="13" t="str">
        <f t="shared" si="31"/>
        <v>FY 2036-37</v>
      </c>
      <c r="Y95" s="13" t="str">
        <f t="shared" si="31"/>
        <v>FY 2037-38</v>
      </c>
      <c r="Z95" s="13" t="str">
        <f t="shared" si="31"/>
        <v>FY 2038-39</v>
      </c>
      <c r="AA95" s="13" t="str">
        <f t="shared" si="31"/>
        <v>FY 2039-40</v>
      </c>
      <c r="AB95" s="13" t="str">
        <f t="shared" si="31"/>
        <v>FY 2040-41</v>
      </c>
      <c r="AC95" s="13" t="str">
        <f t="shared" si="31"/>
        <v>FY 2041-42</v>
      </c>
      <c r="AD95" s="13" t="str">
        <f t="shared" si="31"/>
        <v>FY 2042-43</v>
      </c>
      <c r="AE95" s="13" t="str">
        <f t="shared" si="31"/>
        <v>FY 2043-44</v>
      </c>
      <c r="AF95" s="13" t="str">
        <f t="shared" si="31"/>
        <v>FY 2044-45</v>
      </c>
      <c r="AG95" s="13" t="str">
        <f t="shared" si="31"/>
        <v>FY 2045-46</v>
      </c>
      <c r="AH95" s="13" t="str">
        <f t="shared" si="31"/>
        <v>FY 2046-47</v>
      </c>
      <c r="AI95" s="13" t="str">
        <f t="shared" si="31"/>
        <v>FY 2047-48</v>
      </c>
      <c r="AJ95" s="13" t="str">
        <f t="shared" si="31"/>
        <v>FY 2048-49</v>
      </c>
      <c r="AM95" s="7" t="str">
        <f>B95</f>
        <v>Number</v>
      </c>
      <c r="AN95" s="7" t="str">
        <f t="shared" ref="AN95:BU95" si="32">C95</f>
        <v>Option name</v>
      </c>
      <c r="AO95" s="7" t="str">
        <f t="shared" si="32"/>
        <v>Capex component</v>
      </c>
      <c r="AP95" s="7" t="str">
        <f t="shared" si="32"/>
        <v>Units</v>
      </c>
      <c r="AQ95" s="7" t="str">
        <f t="shared" si="32"/>
        <v>PV</v>
      </c>
      <c r="AR95" s="7" t="str">
        <f t="shared" si="32"/>
        <v>FY 2019-20</v>
      </c>
      <c r="AS95" s="7" t="str">
        <f t="shared" si="32"/>
        <v>FY 2020-21</v>
      </c>
      <c r="AT95" s="7" t="str">
        <f t="shared" si="32"/>
        <v>FY 2021-22</v>
      </c>
      <c r="AU95" s="7" t="str">
        <f t="shared" si="32"/>
        <v>FY 2022-23</v>
      </c>
      <c r="AV95" s="7" t="str">
        <f t="shared" si="32"/>
        <v>FY 2023-24</v>
      </c>
      <c r="AW95" s="7" t="str">
        <f t="shared" si="32"/>
        <v>FY 2024-25</v>
      </c>
      <c r="AX95" s="7" t="str">
        <f t="shared" si="32"/>
        <v>FY 2025-26</v>
      </c>
      <c r="AY95" s="7" t="str">
        <f t="shared" si="32"/>
        <v>FY 2026-27</v>
      </c>
      <c r="AZ95" s="7" t="str">
        <f t="shared" si="32"/>
        <v>FY 2027-28</v>
      </c>
      <c r="BA95" s="7" t="str">
        <f t="shared" si="32"/>
        <v>FY 2028-29</v>
      </c>
      <c r="BB95" s="7" t="str">
        <f t="shared" si="32"/>
        <v>FY 2029-30</v>
      </c>
      <c r="BC95" s="7" t="str">
        <f t="shared" si="32"/>
        <v>FY 2030-31</v>
      </c>
      <c r="BD95" s="7" t="str">
        <f t="shared" si="32"/>
        <v>FY 2031-32</v>
      </c>
      <c r="BE95" s="7" t="str">
        <f t="shared" si="32"/>
        <v>FY 2032-33</v>
      </c>
      <c r="BF95" s="7" t="str">
        <f t="shared" si="32"/>
        <v>FY 2033-34</v>
      </c>
      <c r="BG95" s="7" t="str">
        <f t="shared" si="32"/>
        <v>FY 2034-35</v>
      </c>
      <c r="BH95" s="7" t="str">
        <f t="shared" si="32"/>
        <v>FY 2035-36</v>
      </c>
      <c r="BI95" s="7" t="str">
        <f t="shared" si="32"/>
        <v>FY 2036-37</v>
      </c>
      <c r="BJ95" s="7" t="str">
        <f t="shared" si="32"/>
        <v>FY 2037-38</v>
      </c>
      <c r="BK95" s="7" t="str">
        <f t="shared" si="32"/>
        <v>FY 2038-39</v>
      </c>
      <c r="BL95" s="7" t="str">
        <f t="shared" si="32"/>
        <v>FY 2039-40</v>
      </c>
      <c r="BM95" s="7" t="str">
        <f t="shared" si="32"/>
        <v>FY 2040-41</v>
      </c>
      <c r="BN95" s="7" t="str">
        <f t="shared" si="32"/>
        <v>FY 2041-42</v>
      </c>
      <c r="BO95" s="7" t="str">
        <f t="shared" si="32"/>
        <v>FY 2042-43</v>
      </c>
      <c r="BP95" s="7" t="str">
        <f t="shared" si="32"/>
        <v>FY 2043-44</v>
      </c>
      <c r="BQ95" s="7" t="str">
        <f t="shared" si="32"/>
        <v>FY 2044-45</v>
      </c>
      <c r="BR95" s="7" t="str">
        <f t="shared" si="32"/>
        <v>FY 2045-46</v>
      </c>
      <c r="BS95" s="7" t="str">
        <f t="shared" si="32"/>
        <v>FY 2046-47</v>
      </c>
      <c r="BT95" s="7" t="str">
        <f t="shared" si="32"/>
        <v>FY 2047-48</v>
      </c>
      <c r="BU95" s="7" t="str">
        <f t="shared" si="32"/>
        <v>FY 2048-49</v>
      </c>
    </row>
    <row r="96" spans="2:74" x14ac:dyDescent="0.35">
      <c r="B96" s="9">
        <f t="shared" si="30"/>
        <v>1</v>
      </c>
      <c r="C96" s="26" t="str">
        <f t="shared" si="30"/>
        <v>Option 1A</v>
      </c>
      <c r="D96" s="26" t="str">
        <f t="shared" ref="D96:D125" si="33">+D63</f>
        <v>Lines</v>
      </c>
      <c r="E96" s="12" t="s">
        <v>35</v>
      </c>
      <c r="F96" s="18">
        <f t="shared" ref="F96:F125" si="34">NPV(DiscountRate_ACTIVE,G96:AJ96)/(1+DiscountRate_ACTIVE)^(FirstYear-BaseYear-1)</f>
        <v>94503891.982099876</v>
      </c>
      <c r="G96" s="17">
        <f>IFERROR(IF(G$58&gt;='CBA Inputs'!$H20,MAX('CBA Inputs'!$E20-'CBA Inputs'!$E20/'CBA Inputs'!$I20*(G$58-'CBA Inputs'!$H20+1),0),0)*IF(G$58=FirstYear+AnalysisPeriod-1,1,0),0)*CapitalCost_ACTIVE*G$55</f>
        <v>0</v>
      </c>
      <c r="H96" s="17">
        <f>IFERROR(IF(H$58&gt;='CBA Inputs'!$H20,MAX('CBA Inputs'!$E20-'CBA Inputs'!$E20/'CBA Inputs'!$I20*(H$58-'CBA Inputs'!$H20+1),0),0)*IF(H$58=FirstYear+AnalysisPeriod-1,1,0),0)*CapitalCost_ACTIVE*H$55</f>
        <v>0</v>
      </c>
      <c r="I96" s="17">
        <f>IFERROR(IF(I$58&gt;='CBA Inputs'!$H20,MAX('CBA Inputs'!$E20-'CBA Inputs'!$E20/'CBA Inputs'!$I20*(I$58-'CBA Inputs'!$H20+1),0),0)*IF(I$58=FirstYear+AnalysisPeriod-1,1,0),0)*CapitalCost_ACTIVE*I$55</f>
        <v>0</v>
      </c>
      <c r="J96" s="17">
        <f>IFERROR(IF(J$58&gt;='CBA Inputs'!$H20,MAX('CBA Inputs'!$E20-'CBA Inputs'!$E20/'CBA Inputs'!$I20*(J$58-'CBA Inputs'!$H20+1),0),0)*IF(J$58=FirstYear+AnalysisPeriod-1,1,0),0)*CapitalCost_ACTIVE*J$55</f>
        <v>0</v>
      </c>
      <c r="K96" s="17">
        <f>IFERROR(IF(K$58&gt;='CBA Inputs'!$H20,MAX('CBA Inputs'!$E20-'CBA Inputs'!$E20/'CBA Inputs'!$I20*(K$58-'CBA Inputs'!$H20+1),0),0)*IF(K$58=FirstYear+AnalysisPeriod-1,1,0),0)*CapitalCost_ACTIVE*K$55</f>
        <v>0</v>
      </c>
      <c r="L96" s="17">
        <f>IFERROR(IF(L$58&gt;='CBA Inputs'!$H20,MAX('CBA Inputs'!$E20-'CBA Inputs'!$E20/'CBA Inputs'!$I20*(L$58-'CBA Inputs'!$H20+1),0),0)*IF(L$58=FirstYear+AnalysisPeriod-1,1,0),0)*CapitalCost_ACTIVE*L$55</f>
        <v>0</v>
      </c>
      <c r="M96" s="17">
        <f>IFERROR(IF(M$58&gt;='CBA Inputs'!$H20,MAX('CBA Inputs'!$E20-'CBA Inputs'!$E20/'CBA Inputs'!$I20*(M$58-'CBA Inputs'!$H20+1),0),0)*IF(M$58=FirstYear+AnalysisPeriod-1,1,0),0)*CapitalCost_ACTIVE*M$55</f>
        <v>0</v>
      </c>
      <c r="N96" s="17">
        <f>IFERROR(IF(N$58&gt;='CBA Inputs'!$H20,MAX('CBA Inputs'!$E20-'CBA Inputs'!$E20/'CBA Inputs'!$I20*(N$58-'CBA Inputs'!$H20+1),0),0)*IF(N$58=FirstYear+AnalysisPeriod-1,1,0),0)*CapitalCost_ACTIVE*N$55</f>
        <v>0</v>
      </c>
      <c r="O96" s="17">
        <f>IFERROR(IF(O$58&gt;='CBA Inputs'!$H20,MAX('CBA Inputs'!$E20-'CBA Inputs'!$E20/'CBA Inputs'!$I20*(O$58-'CBA Inputs'!$H20+1),0),0)*IF(O$58=FirstYear+AnalysisPeriod-1,1,0),0)*CapitalCost_ACTIVE*O$55</f>
        <v>0</v>
      </c>
      <c r="P96" s="17">
        <f>IFERROR(IF(P$58&gt;='CBA Inputs'!$H20,MAX('CBA Inputs'!$E20-'CBA Inputs'!$E20/'CBA Inputs'!$I20*(P$58-'CBA Inputs'!$H20+1),0),0)*IF(P$58=FirstYear+AnalysisPeriod-1,1,0),0)*CapitalCost_ACTIVE*P$55</f>
        <v>0</v>
      </c>
      <c r="Q96" s="17">
        <f>IFERROR(IF(Q$58&gt;='CBA Inputs'!$H20,MAX('CBA Inputs'!$E20-'CBA Inputs'!$E20/'CBA Inputs'!$I20*(Q$58-'CBA Inputs'!$H20+1),0),0)*IF(Q$58=FirstYear+AnalysisPeriod-1,1,0),0)*CapitalCost_ACTIVE*Q$55</f>
        <v>0</v>
      </c>
      <c r="R96" s="17">
        <f>IFERROR(IF(R$58&gt;='CBA Inputs'!$H20,MAX('CBA Inputs'!$E20-'CBA Inputs'!$E20/'CBA Inputs'!$I20*(R$58-'CBA Inputs'!$H20+1),0),0)*IF(R$58=FirstYear+AnalysisPeriod-1,1,0),0)*CapitalCost_ACTIVE*R$55</f>
        <v>0</v>
      </c>
      <c r="S96" s="17">
        <f>IFERROR(IF(S$58&gt;='CBA Inputs'!$H20,MAX('CBA Inputs'!$E20-'CBA Inputs'!$E20/'CBA Inputs'!$I20*(S$58-'CBA Inputs'!$H20+1),0),0)*IF(S$58=FirstYear+AnalysisPeriod-1,1,0),0)*CapitalCost_ACTIVE*S$55</f>
        <v>0</v>
      </c>
      <c r="T96" s="17">
        <f>IFERROR(IF(T$58&gt;='CBA Inputs'!$H20,MAX('CBA Inputs'!$E20-'CBA Inputs'!$E20/'CBA Inputs'!$I20*(T$58-'CBA Inputs'!$H20+1),0),0)*IF(T$58=FirstYear+AnalysisPeriod-1,1,0),0)*CapitalCost_ACTIVE*T$55</f>
        <v>0</v>
      </c>
      <c r="U96" s="17">
        <f>IFERROR(IF(U$58&gt;='CBA Inputs'!$H20,MAX('CBA Inputs'!$E20-'CBA Inputs'!$E20/'CBA Inputs'!$I20*(U$58-'CBA Inputs'!$H20+1),0),0)*IF(U$58=FirstYear+AnalysisPeriod-1,1,0),0)*CapitalCost_ACTIVE*U$55</f>
        <v>0</v>
      </c>
      <c r="V96" s="17">
        <f>IFERROR(IF(V$58&gt;='CBA Inputs'!$H20,MAX('CBA Inputs'!$E20-'CBA Inputs'!$E20/'CBA Inputs'!$I20*(V$58-'CBA Inputs'!$H20+1),0),0)*IF(V$58=FirstYear+AnalysisPeriod-1,1,0),0)*CapitalCost_ACTIVE*V$55</f>
        <v>0</v>
      </c>
      <c r="W96" s="17">
        <f>IFERROR(IF(W$58&gt;='CBA Inputs'!$H20,MAX('CBA Inputs'!$E20-'CBA Inputs'!$E20/'CBA Inputs'!$I20*(W$58-'CBA Inputs'!$H20+1),0),0)*IF(W$58=FirstYear+AnalysisPeriod-1,1,0),0)*CapitalCost_ACTIVE*W$55</f>
        <v>0</v>
      </c>
      <c r="X96" s="17">
        <f>IFERROR(IF(X$58&gt;='CBA Inputs'!$H20,MAX('CBA Inputs'!$E20-'CBA Inputs'!$E20/'CBA Inputs'!$I20*(X$58-'CBA Inputs'!$H20+1),0),0)*IF(X$58=FirstYear+AnalysisPeriod-1,1,0),0)*CapitalCost_ACTIVE*X$55</f>
        <v>0</v>
      </c>
      <c r="Y96" s="17">
        <f>IFERROR(IF(Y$58&gt;='CBA Inputs'!$H20,MAX('CBA Inputs'!$E20-'CBA Inputs'!$E20/'CBA Inputs'!$I20*(Y$58-'CBA Inputs'!$H20+1),0),0)*IF(Y$58=FirstYear+AnalysisPeriod-1,1,0),0)*CapitalCost_ACTIVE*Y$55</f>
        <v>0</v>
      </c>
      <c r="Z96" s="17">
        <f>IFERROR(IF(Z$58&gt;='CBA Inputs'!$H20,MAX('CBA Inputs'!$E20-'CBA Inputs'!$E20/'CBA Inputs'!$I20*(Z$58-'CBA Inputs'!$H20+1),0),0)*IF(Z$58=FirstYear+AnalysisPeriod-1,1,0),0)*CapitalCost_ACTIVE*Z$55</f>
        <v>0</v>
      </c>
      <c r="AA96" s="17">
        <f>IFERROR(IF(AA$58&gt;='CBA Inputs'!$H20,MAX('CBA Inputs'!$E20-'CBA Inputs'!$E20/'CBA Inputs'!$I20*(AA$58-'CBA Inputs'!$H20+1),0),0)*IF(AA$58=FirstYear+AnalysisPeriod-1,1,0),0)*CapitalCost_ACTIVE*AA$55</f>
        <v>0</v>
      </c>
      <c r="AB96" s="17">
        <f>IFERROR(IF(AB$58&gt;='CBA Inputs'!$H20,MAX('CBA Inputs'!$E20-'CBA Inputs'!$E20/'CBA Inputs'!$I20*(AB$58-'CBA Inputs'!$H20+1),0),0)*IF(AB$58=FirstYear+AnalysisPeriod-1,1,0),0)*CapitalCost_ACTIVE*AB$55</f>
        <v>0</v>
      </c>
      <c r="AC96" s="17">
        <f>IFERROR(IF(AC$58&gt;='CBA Inputs'!$H20,MAX('CBA Inputs'!$E20-'CBA Inputs'!$E20/'CBA Inputs'!$I20*(AC$58-'CBA Inputs'!$H20+1),0),0)*IF(AC$58=FirstYear+AnalysisPeriod-1,1,0),0)*CapitalCost_ACTIVE*AC$55</f>
        <v>0</v>
      </c>
      <c r="AD96" s="17">
        <f>IFERROR(IF(AD$58&gt;='CBA Inputs'!$H20,MAX('CBA Inputs'!$E20-'CBA Inputs'!$E20/'CBA Inputs'!$I20*(AD$58-'CBA Inputs'!$H20+1),0),0)*IF(AD$58=FirstYear+AnalysisPeriod-1,1,0),0)*CapitalCost_ACTIVE*AD$55</f>
        <v>0</v>
      </c>
      <c r="AE96" s="17">
        <f>IFERROR(IF(AE$58&gt;='CBA Inputs'!$H20,MAX('CBA Inputs'!$E20-'CBA Inputs'!$E20/'CBA Inputs'!$I20*(AE$58-'CBA Inputs'!$H20+1),0),0)*IF(AE$58=FirstYear+AnalysisPeriod-1,1,0),0)*CapitalCost_ACTIVE*AE$55</f>
        <v>0</v>
      </c>
      <c r="AF96" s="17">
        <f>IFERROR(IF(AF$58&gt;='CBA Inputs'!$H20,MAX('CBA Inputs'!$E20-'CBA Inputs'!$E20/'CBA Inputs'!$I20*(AF$58-'CBA Inputs'!$H20+1),0),0)*IF(AF$58=FirstYear+AnalysisPeriod-1,1,0),0)*CapitalCost_ACTIVE*AF$55</f>
        <v>396140000</v>
      </c>
      <c r="AG96" s="17">
        <f>IFERROR(IF(AG$58&gt;='CBA Inputs'!$H20,MAX('CBA Inputs'!$E20-'CBA Inputs'!$E20/'CBA Inputs'!$I20*(AG$58-'CBA Inputs'!$H20+1),0),0)*IF(AG$58=FirstYear+AnalysisPeriod-1,1,0),0)*CapitalCost_ACTIVE*AG$55</f>
        <v>0</v>
      </c>
      <c r="AH96" s="17">
        <f>IFERROR(IF(AH$58&gt;='CBA Inputs'!$H20,MAX('CBA Inputs'!$E20-'CBA Inputs'!$E20/'CBA Inputs'!$I20*(AH$58-'CBA Inputs'!$H20+1),0),0)*IF(AH$58=FirstYear+AnalysisPeriod-1,1,0),0)*CapitalCost_ACTIVE*AH$55</f>
        <v>0</v>
      </c>
      <c r="AI96" s="17">
        <f>IFERROR(IF(AI$58&gt;='CBA Inputs'!$H20,MAX('CBA Inputs'!$E20-'CBA Inputs'!$E20/'CBA Inputs'!$I20*(AI$58-'CBA Inputs'!$H20+1),0),0)*IF(AI$58=FirstYear+AnalysisPeriod-1,1,0),0)*CapitalCost_ACTIVE*AI$55</f>
        <v>0</v>
      </c>
      <c r="AJ96" s="17">
        <f>IFERROR(IF(AJ$58&gt;='CBA Inputs'!$H20,MAX('CBA Inputs'!$E20-'CBA Inputs'!$E20/'CBA Inputs'!$I20*(AJ$58-'CBA Inputs'!$H20+1),0),0)*IF(AJ$58=FirstYear+AnalysisPeriod-1,1,0),0)*CapitalCost_ACTIVE*AJ$55</f>
        <v>0</v>
      </c>
      <c r="AM96" s="9">
        <f t="shared" ref="AM96:AO125" si="35">+AM63</f>
        <v>2</v>
      </c>
      <c r="AN96" s="26" t="str">
        <f t="shared" si="35"/>
        <v>Option 1B</v>
      </c>
      <c r="AO96" s="26" t="str">
        <f t="shared" si="35"/>
        <v>Substation</v>
      </c>
      <c r="AP96" s="12" t="s">
        <v>35</v>
      </c>
      <c r="AQ96" s="18">
        <f t="shared" ref="AQ96:AQ125" si="36">NPV(DiscountRate_ACTIVE,AR96:BU96)/(1+DiscountRate_ACTIVE)^(FirstYear-BaseYear-2)</f>
        <v>17735117.476030879</v>
      </c>
      <c r="AR96" s="17">
        <f>IFERROR(IF(G$58&gt;='CBA Inputs'!$R20,MAX('CBA Inputs'!$O20-'CBA Inputs'!$O20/'CBA Inputs'!$S20*(G$58-'CBA Inputs'!$R20+1),0),0)*IF(G$58=FirstYear+AnalysisPeriod-1,1,0),0)*CapitalCost_ACTIVE*G$55*IF(Scenario_Select='CBA Inputs'!$T20,1,0)</f>
        <v>0</v>
      </c>
      <c r="AS96" s="17">
        <f>IFERROR(IF(H$58&gt;='CBA Inputs'!$R20,MAX('CBA Inputs'!$O20-'CBA Inputs'!$O20/'CBA Inputs'!$S20*(H$58-'CBA Inputs'!$R20+1),0),0)*IF(H$58=FirstYear+AnalysisPeriod-1,1,0),0)*CapitalCost_ACTIVE*H$55*IF(Scenario_Select='CBA Inputs'!$T20,1,0)</f>
        <v>0</v>
      </c>
      <c r="AT96" s="17">
        <f>IFERROR(IF(I$58&gt;='CBA Inputs'!$R20,MAX('CBA Inputs'!$O20-'CBA Inputs'!$O20/'CBA Inputs'!$S20*(I$58-'CBA Inputs'!$R20+1),0),0)*IF(I$58=FirstYear+AnalysisPeriod-1,1,0),0)*CapitalCost_ACTIVE*I$55*IF(Scenario_Select='CBA Inputs'!$T20,1,0)</f>
        <v>0</v>
      </c>
      <c r="AU96" s="17">
        <f>IFERROR(IF(J$58&gt;='CBA Inputs'!$R20,MAX('CBA Inputs'!$O20-'CBA Inputs'!$O20/'CBA Inputs'!$S20*(J$58-'CBA Inputs'!$R20+1),0),0)*IF(J$58=FirstYear+AnalysisPeriod-1,1,0),0)*CapitalCost_ACTIVE*J$55*IF(Scenario_Select='CBA Inputs'!$T20,1,0)</f>
        <v>0</v>
      </c>
      <c r="AV96" s="17">
        <f>IFERROR(IF(K$58&gt;='CBA Inputs'!$R20,MAX('CBA Inputs'!$O20-'CBA Inputs'!$O20/'CBA Inputs'!$S20*(K$58-'CBA Inputs'!$R20+1),0),0)*IF(K$58=FirstYear+AnalysisPeriod-1,1,0),0)*CapitalCost_ACTIVE*K$55*IF(Scenario_Select='CBA Inputs'!$T20,1,0)</f>
        <v>0</v>
      </c>
      <c r="AW96" s="17">
        <f>IFERROR(IF(L$58&gt;='CBA Inputs'!$R20,MAX('CBA Inputs'!$O20-'CBA Inputs'!$O20/'CBA Inputs'!$S20*(L$58-'CBA Inputs'!$R20+1),0),0)*IF(L$58=FirstYear+AnalysisPeriod-1,1,0),0)*CapitalCost_ACTIVE*L$55*IF(Scenario_Select='CBA Inputs'!$T20,1,0)</f>
        <v>0</v>
      </c>
      <c r="AX96" s="17">
        <f>IFERROR(IF(M$58&gt;='CBA Inputs'!$R20,MAX('CBA Inputs'!$O20-'CBA Inputs'!$O20/'CBA Inputs'!$S20*(M$58-'CBA Inputs'!$R20+1),0),0)*IF(M$58=FirstYear+AnalysisPeriod-1,1,0),0)*CapitalCost_ACTIVE*M$55*IF(Scenario_Select='CBA Inputs'!$T20,1,0)</f>
        <v>0</v>
      </c>
      <c r="AY96" s="17">
        <f>IFERROR(IF(N$58&gt;='CBA Inputs'!$R20,MAX('CBA Inputs'!$O20-'CBA Inputs'!$O20/'CBA Inputs'!$S20*(N$58-'CBA Inputs'!$R20+1),0),0)*IF(N$58=FirstYear+AnalysisPeriod-1,1,0),0)*CapitalCost_ACTIVE*N$55*IF(Scenario_Select='CBA Inputs'!$T20,1,0)</f>
        <v>0</v>
      </c>
      <c r="AZ96" s="17">
        <f>IFERROR(IF(O$58&gt;='CBA Inputs'!$R20,MAX('CBA Inputs'!$O20-'CBA Inputs'!$O20/'CBA Inputs'!$S20*(O$58-'CBA Inputs'!$R20+1),0),0)*IF(O$58=FirstYear+AnalysisPeriod-1,1,0),0)*CapitalCost_ACTIVE*O$55*IF(Scenario_Select='CBA Inputs'!$T20,1,0)</f>
        <v>0</v>
      </c>
      <c r="BA96" s="17">
        <f>IFERROR(IF(P$58&gt;='CBA Inputs'!$R20,MAX('CBA Inputs'!$O20-'CBA Inputs'!$O20/'CBA Inputs'!$S20*(P$58-'CBA Inputs'!$R20+1),0),0)*IF(P$58=FirstYear+AnalysisPeriod-1,1,0),0)*CapitalCost_ACTIVE*P$55*IF(Scenario_Select='CBA Inputs'!$T20,1,0)</f>
        <v>0</v>
      </c>
      <c r="BB96" s="17">
        <f>IFERROR(IF(Q$58&gt;='CBA Inputs'!$R20,MAX('CBA Inputs'!$O20-'CBA Inputs'!$O20/'CBA Inputs'!$S20*(Q$58-'CBA Inputs'!$R20+1),0),0)*IF(Q$58=FirstYear+AnalysisPeriod-1,1,0),0)*CapitalCost_ACTIVE*Q$55*IF(Scenario_Select='CBA Inputs'!$T20,1,0)</f>
        <v>0</v>
      </c>
      <c r="BC96" s="17">
        <f>IFERROR(IF(R$58&gt;='CBA Inputs'!$R20,MAX('CBA Inputs'!$O20-'CBA Inputs'!$O20/'CBA Inputs'!$S20*(R$58-'CBA Inputs'!$R20+1),0),0)*IF(R$58=FirstYear+AnalysisPeriod-1,1,0),0)*CapitalCost_ACTIVE*R$55*IF(Scenario_Select='CBA Inputs'!$T20,1,0)</f>
        <v>0</v>
      </c>
      <c r="BD96" s="17">
        <f>IFERROR(IF(S$58&gt;='CBA Inputs'!$R20,MAX('CBA Inputs'!$O20-'CBA Inputs'!$O20/'CBA Inputs'!$S20*(S$58-'CBA Inputs'!$R20+1),0),0)*IF(S$58=FirstYear+AnalysisPeriod-1,1,0),0)*CapitalCost_ACTIVE*S$55*IF(Scenario_Select='CBA Inputs'!$T20,1,0)</f>
        <v>0</v>
      </c>
      <c r="BE96" s="17">
        <f>IFERROR(IF(T$58&gt;='CBA Inputs'!$R20,MAX('CBA Inputs'!$O20-'CBA Inputs'!$O20/'CBA Inputs'!$S20*(T$58-'CBA Inputs'!$R20+1),0),0)*IF(T$58=FirstYear+AnalysisPeriod-1,1,0),0)*CapitalCost_ACTIVE*T$55*IF(Scenario_Select='CBA Inputs'!$T20,1,0)</f>
        <v>0</v>
      </c>
      <c r="BF96" s="17">
        <f>IFERROR(IF(U$58&gt;='CBA Inputs'!$R20,MAX('CBA Inputs'!$O20-'CBA Inputs'!$O20/'CBA Inputs'!$S20*(U$58-'CBA Inputs'!$R20+1),0),0)*IF(U$58=FirstYear+AnalysisPeriod-1,1,0),0)*CapitalCost_ACTIVE*U$55*IF(Scenario_Select='CBA Inputs'!$T20,1,0)</f>
        <v>0</v>
      </c>
      <c r="BG96" s="17">
        <f>IFERROR(IF(V$58&gt;='CBA Inputs'!$R20,MAX('CBA Inputs'!$O20-'CBA Inputs'!$O20/'CBA Inputs'!$S20*(V$58-'CBA Inputs'!$R20+1),0),0)*IF(V$58=FirstYear+AnalysisPeriod-1,1,0),0)*CapitalCost_ACTIVE*V$55*IF(Scenario_Select='CBA Inputs'!$T20,1,0)</f>
        <v>0</v>
      </c>
      <c r="BH96" s="17">
        <f>IFERROR(IF(W$58&gt;='CBA Inputs'!$R20,MAX('CBA Inputs'!$O20-'CBA Inputs'!$O20/'CBA Inputs'!$S20*(W$58-'CBA Inputs'!$R20+1),0),0)*IF(W$58=FirstYear+AnalysisPeriod-1,1,0),0)*CapitalCost_ACTIVE*W$55*IF(Scenario_Select='CBA Inputs'!$T20,1,0)</f>
        <v>0</v>
      </c>
      <c r="BI96" s="17">
        <f>IFERROR(IF(X$58&gt;='CBA Inputs'!$R20,MAX('CBA Inputs'!$O20-'CBA Inputs'!$O20/'CBA Inputs'!$S20*(X$58-'CBA Inputs'!$R20+1),0),0)*IF(X$58=FirstYear+AnalysisPeriod-1,1,0),0)*CapitalCost_ACTIVE*X$55*IF(Scenario_Select='CBA Inputs'!$T20,1,0)</f>
        <v>0</v>
      </c>
      <c r="BJ96" s="17">
        <f>IFERROR(IF(Y$58&gt;='CBA Inputs'!$R20,MAX('CBA Inputs'!$O20-'CBA Inputs'!$O20/'CBA Inputs'!$S20*(Y$58-'CBA Inputs'!$R20+1),0),0)*IF(Y$58=FirstYear+AnalysisPeriod-1,1,0),0)*CapitalCost_ACTIVE*Y$55*IF(Scenario_Select='CBA Inputs'!$T20,1,0)</f>
        <v>0</v>
      </c>
      <c r="BK96" s="17">
        <f>IFERROR(IF(Z$58&gt;='CBA Inputs'!$R20,MAX('CBA Inputs'!$O20-'CBA Inputs'!$O20/'CBA Inputs'!$S20*(Z$58-'CBA Inputs'!$R20+1),0),0)*IF(Z$58=FirstYear+AnalysisPeriod-1,1,0),0)*CapitalCost_ACTIVE*Z$55*IF(Scenario_Select='CBA Inputs'!$T20,1,0)</f>
        <v>0</v>
      </c>
      <c r="BL96" s="17">
        <f>IFERROR(IF(AA$58&gt;='CBA Inputs'!$R20,MAX('CBA Inputs'!$O20-'CBA Inputs'!$O20/'CBA Inputs'!$S20*(AA$58-'CBA Inputs'!$R20+1),0),0)*IF(AA$58=FirstYear+AnalysisPeriod-1,1,0),0)*CapitalCost_ACTIVE*AA$55*IF(Scenario_Select='CBA Inputs'!$T20,1,0)</f>
        <v>0</v>
      </c>
      <c r="BM96" s="17">
        <f>IFERROR(IF(AB$58&gt;='CBA Inputs'!$R20,MAX('CBA Inputs'!$O20-'CBA Inputs'!$O20/'CBA Inputs'!$S20*(AB$58-'CBA Inputs'!$R20+1),0),0)*IF(AB$58=FirstYear+AnalysisPeriod-1,1,0),0)*CapitalCost_ACTIVE*AB$55*IF(Scenario_Select='CBA Inputs'!$T20,1,0)</f>
        <v>0</v>
      </c>
      <c r="BN96" s="17">
        <f>IFERROR(IF(AC$58&gt;='CBA Inputs'!$R20,MAX('CBA Inputs'!$O20-'CBA Inputs'!$O20/'CBA Inputs'!$S20*(AC$58-'CBA Inputs'!$R20+1),0),0)*IF(AC$58=FirstYear+AnalysisPeriod-1,1,0),0)*CapitalCost_ACTIVE*AC$55*IF(Scenario_Select='CBA Inputs'!$T20,1,0)</f>
        <v>0</v>
      </c>
      <c r="BO96" s="17">
        <f>IFERROR(IF(AD$58&gt;='CBA Inputs'!$R20,MAX('CBA Inputs'!$O20-'CBA Inputs'!$O20/'CBA Inputs'!$S20*(AD$58-'CBA Inputs'!$R20+1),0),0)*IF(AD$58=FirstYear+AnalysisPeriod-1,1,0),0)*CapitalCost_ACTIVE*AD$55*IF(Scenario_Select='CBA Inputs'!$T20,1,0)</f>
        <v>0</v>
      </c>
      <c r="BP96" s="17">
        <f>IFERROR(IF(AE$58&gt;='CBA Inputs'!$R20,MAX('CBA Inputs'!$O20-'CBA Inputs'!$O20/'CBA Inputs'!$S20*(AE$58-'CBA Inputs'!$R20+1),0),0)*IF(AE$58=FirstYear+AnalysisPeriod-1,1,0),0)*CapitalCost_ACTIVE*AE$55*IF(Scenario_Select='CBA Inputs'!$T20,1,0)</f>
        <v>0</v>
      </c>
      <c r="BQ96" s="17">
        <f>IFERROR(IF(AF$58&gt;='CBA Inputs'!$R20,MAX('CBA Inputs'!$O20-'CBA Inputs'!$O20/'CBA Inputs'!$S20*(AF$58-'CBA Inputs'!$R20+1),0),0)*IF(AF$58=FirstYear+AnalysisPeriod-1,1,0),0)*CapitalCost_ACTIVE*AF$55*IF(Scenario_Select='CBA Inputs'!$T20,1,0)</f>
        <v>70200000</v>
      </c>
      <c r="BR96" s="17">
        <f>IFERROR(IF(AG$58&gt;='CBA Inputs'!$R20,MAX('CBA Inputs'!$O20-'CBA Inputs'!$O20/'CBA Inputs'!$S20*(AG$58-'CBA Inputs'!$R20+1),0),0)*IF(AG$58=FirstYear+AnalysisPeriod-1,1,0),0)*CapitalCost_ACTIVE*AG$55*IF(Scenario_Select='CBA Inputs'!$T20,1,0)</f>
        <v>0</v>
      </c>
      <c r="BS96" s="17">
        <f>IFERROR(IF(AH$58&gt;='CBA Inputs'!$R20,MAX('CBA Inputs'!$O20-'CBA Inputs'!$O20/'CBA Inputs'!$S20*(AH$58-'CBA Inputs'!$R20+1),0),0)*IF(AH$58=FirstYear+AnalysisPeriod-1,1,0),0)*CapitalCost_ACTIVE*AH$55*IF(Scenario_Select='CBA Inputs'!$T20,1,0)</f>
        <v>0</v>
      </c>
      <c r="BT96" s="17">
        <f>IFERROR(IF(AI$58&gt;='CBA Inputs'!$R20,MAX('CBA Inputs'!$O20-'CBA Inputs'!$O20/'CBA Inputs'!$S20*(AI$58-'CBA Inputs'!$R20+1),0),0)*IF(AI$58=FirstYear+AnalysisPeriod-1,1,0),0)*CapitalCost_ACTIVE*AI$55*IF(Scenario_Select='CBA Inputs'!$T20,1,0)</f>
        <v>0</v>
      </c>
      <c r="BU96" s="17">
        <f>IFERROR(IF(AJ$58&gt;='CBA Inputs'!$R20,MAX('CBA Inputs'!$O20-'CBA Inputs'!$O20/'CBA Inputs'!$S20*(AJ$58-'CBA Inputs'!$R20+1),0),0)*IF(AJ$58=FirstYear+AnalysisPeriod-1,1,0),0)*CapitalCost_ACTIVE*AJ$55*IF(Scenario_Select='CBA Inputs'!$T20,1,0)</f>
        <v>0</v>
      </c>
    </row>
    <row r="97" spans="1:73" x14ac:dyDescent="0.35">
      <c r="A97" s="134"/>
      <c r="B97" s="9">
        <f t="shared" si="30"/>
        <v>1</v>
      </c>
      <c r="C97" s="26" t="str">
        <f t="shared" si="30"/>
        <v>Option 1A</v>
      </c>
      <c r="D97" s="26" t="str">
        <f t="shared" si="33"/>
        <v>Substation</v>
      </c>
      <c r="E97" s="12" t="s">
        <v>35</v>
      </c>
      <c r="F97" s="18">
        <f t="shared" si="34"/>
        <v>12691490.517109388</v>
      </c>
      <c r="G97" s="17">
        <f>IFERROR(IF(G$58&gt;='CBA Inputs'!$H21,MAX('CBA Inputs'!$E21-'CBA Inputs'!$E21/'CBA Inputs'!$I21*(G$58-'CBA Inputs'!$H21+1),0),0)*IF(G$58=FirstYear+AnalysisPeriod-1,1,0),0)*CapitalCost_ACTIVE*G$55</f>
        <v>0</v>
      </c>
      <c r="H97" s="17">
        <f>IFERROR(IF(H$58&gt;='CBA Inputs'!$H21,MAX('CBA Inputs'!$E21-'CBA Inputs'!$E21/'CBA Inputs'!$I21*(H$58-'CBA Inputs'!$H21+1),0),0)*IF(H$58=FirstYear+AnalysisPeriod-1,1,0),0)*CapitalCost_ACTIVE*H$55</f>
        <v>0</v>
      </c>
      <c r="I97" s="17">
        <f>IFERROR(IF(I$58&gt;='CBA Inputs'!$H21,MAX('CBA Inputs'!$E21-'CBA Inputs'!$E21/'CBA Inputs'!$I21*(I$58-'CBA Inputs'!$H21+1),0),0)*IF(I$58=FirstYear+AnalysisPeriod-1,1,0),0)*CapitalCost_ACTIVE*I$55</f>
        <v>0</v>
      </c>
      <c r="J97" s="17">
        <f>IFERROR(IF(J$58&gt;='CBA Inputs'!$H21,MAX('CBA Inputs'!$E21-'CBA Inputs'!$E21/'CBA Inputs'!$I21*(J$58-'CBA Inputs'!$H21+1),0),0)*IF(J$58=FirstYear+AnalysisPeriod-1,1,0),0)*CapitalCost_ACTIVE*J$55</f>
        <v>0</v>
      </c>
      <c r="K97" s="17">
        <f>IFERROR(IF(K$58&gt;='CBA Inputs'!$H21,MAX('CBA Inputs'!$E21-'CBA Inputs'!$E21/'CBA Inputs'!$I21*(K$58-'CBA Inputs'!$H21+1),0),0)*IF(K$58=FirstYear+AnalysisPeriod-1,1,0),0)*CapitalCost_ACTIVE*K$55</f>
        <v>0</v>
      </c>
      <c r="L97" s="17">
        <f>IFERROR(IF(L$58&gt;='CBA Inputs'!$H21,MAX('CBA Inputs'!$E21-'CBA Inputs'!$E21/'CBA Inputs'!$I21*(L$58-'CBA Inputs'!$H21+1),0),0)*IF(L$58=FirstYear+AnalysisPeriod-1,1,0),0)*CapitalCost_ACTIVE*L$55</f>
        <v>0</v>
      </c>
      <c r="M97" s="17">
        <f>IFERROR(IF(M$58&gt;='CBA Inputs'!$H21,MAX('CBA Inputs'!$E21-'CBA Inputs'!$E21/'CBA Inputs'!$I21*(M$58-'CBA Inputs'!$H21+1),0),0)*IF(M$58=FirstYear+AnalysisPeriod-1,1,0),0)*CapitalCost_ACTIVE*M$55</f>
        <v>0</v>
      </c>
      <c r="N97" s="17">
        <f>IFERROR(IF(N$58&gt;='CBA Inputs'!$H21,MAX('CBA Inputs'!$E21-'CBA Inputs'!$E21/'CBA Inputs'!$I21*(N$58-'CBA Inputs'!$H21+1),0),0)*IF(N$58=FirstYear+AnalysisPeriod-1,1,0),0)*CapitalCost_ACTIVE*N$55</f>
        <v>0</v>
      </c>
      <c r="O97" s="17">
        <f>IFERROR(IF(O$58&gt;='CBA Inputs'!$H21,MAX('CBA Inputs'!$E21-'CBA Inputs'!$E21/'CBA Inputs'!$I21*(O$58-'CBA Inputs'!$H21+1),0),0)*IF(O$58=FirstYear+AnalysisPeriod-1,1,0),0)*CapitalCost_ACTIVE*O$55</f>
        <v>0</v>
      </c>
      <c r="P97" s="17">
        <f>IFERROR(IF(P$58&gt;='CBA Inputs'!$H21,MAX('CBA Inputs'!$E21-'CBA Inputs'!$E21/'CBA Inputs'!$I21*(P$58-'CBA Inputs'!$H21+1),0),0)*IF(P$58=FirstYear+AnalysisPeriod-1,1,0),0)*CapitalCost_ACTIVE*P$55</f>
        <v>0</v>
      </c>
      <c r="Q97" s="17">
        <f>IFERROR(IF(Q$58&gt;='CBA Inputs'!$H21,MAX('CBA Inputs'!$E21-'CBA Inputs'!$E21/'CBA Inputs'!$I21*(Q$58-'CBA Inputs'!$H21+1),0),0)*IF(Q$58=FirstYear+AnalysisPeriod-1,1,0),0)*CapitalCost_ACTIVE*Q$55</f>
        <v>0</v>
      </c>
      <c r="R97" s="17">
        <f>IFERROR(IF(R$58&gt;='CBA Inputs'!$H21,MAX('CBA Inputs'!$E21-'CBA Inputs'!$E21/'CBA Inputs'!$I21*(R$58-'CBA Inputs'!$H21+1),0),0)*IF(R$58=FirstYear+AnalysisPeriod-1,1,0),0)*CapitalCost_ACTIVE*R$55</f>
        <v>0</v>
      </c>
      <c r="S97" s="17">
        <f>IFERROR(IF(S$58&gt;='CBA Inputs'!$H21,MAX('CBA Inputs'!$E21-'CBA Inputs'!$E21/'CBA Inputs'!$I21*(S$58-'CBA Inputs'!$H21+1),0),0)*IF(S$58=FirstYear+AnalysisPeriod-1,1,0),0)*CapitalCost_ACTIVE*S$55</f>
        <v>0</v>
      </c>
      <c r="T97" s="17">
        <f>IFERROR(IF(T$58&gt;='CBA Inputs'!$H21,MAX('CBA Inputs'!$E21-'CBA Inputs'!$E21/'CBA Inputs'!$I21*(T$58-'CBA Inputs'!$H21+1),0),0)*IF(T$58=FirstYear+AnalysisPeriod-1,1,0),0)*CapitalCost_ACTIVE*T$55</f>
        <v>0</v>
      </c>
      <c r="U97" s="17">
        <f>IFERROR(IF(U$58&gt;='CBA Inputs'!$H21,MAX('CBA Inputs'!$E21-'CBA Inputs'!$E21/'CBA Inputs'!$I21*(U$58-'CBA Inputs'!$H21+1),0),0)*IF(U$58=FirstYear+AnalysisPeriod-1,1,0),0)*CapitalCost_ACTIVE*U$55</f>
        <v>0</v>
      </c>
      <c r="V97" s="17">
        <f>IFERROR(IF(V$58&gt;='CBA Inputs'!$H21,MAX('CBA Inputs'!$E21-'CBA Inputs'!$E21/'CBA Inputs'!$I21*(V$58-'CBA Inputs'!$H21+1),0),0)*IF(V$58=FirstYear+AnalysisPeriod-1,1,0),0)*CapitalCost_ACTIVE*V$55</f>
        <v>0</v>
      </c>
      <c r="W97" s="17">
        <f>IFERROR(IF(W$58&gt;='CBA Inputs'!$H21,MAX('CBA Inputs'!$E21-'CBA Inputs'!$E21/'CBA Inputs'!$I21*(W$58-'CBA Inputs'!$H21+1),0),0)*IF(W$58=FirstYear+AnalysisPeriod-1,1,0),0)*CapitalCost_ACTIVE*W$55</f>
        <v>0</v>
      </c>
      <c r="X97" s="17">
        <f>IFERROR(IF(X$58&gt;='CBA Inputs'!$H21,MAX('CBA Inputs'!$E21-'CBA Inputs'!$E21/'CBA Inputs'!$I21*(X$58-'CBA Inputs'!$H21+1),0),0)*IF(X$58=FirstYear+AnalysisPeriod-1,1,0),0)*CapitalCost_ACTIVE*X$55</f>
        <v>0</v>
      </c>
      <c r="Y97" s="17">
        <f>IFERROR(IF(Y$58&gt;='CBA Inputs'!$H21,MAX('CBA Inputs'!$E21-'CBA Inputs'!$E21/'CBA Inputs'!$I21*(Y$58-'CBA Inputs'!$H21+1),0),0)*IF(Y$58=FirstYear+AnalysisPeriod-1,1,0),0)*CapitalCost_ACTIVE*Y$55</f>
        <v>0</v>
      </c>
      <c r="Z97" s="17">
        <f>IFERROR(IF(Z$58&gt;='CBA Inputs'!$H21,MAX('CBA Inputs'!$E21-'CBA Inputs'!$E21/'CBA Inputs'!$I21*(Z$58-'CBA Inputs'!$H21+1),0),0)*IF(Z$58=FirstYear+AnalysisPeriod-1,1,0),0)*CapitalCost_ACTIVE*Z$55</f>
        <v>0</v>
      </c>
      <c r="AA97" s="17">
        <f>IFERROR(IF(AA$58&gt;='CBA Inputs'!$H21,MAX('CBA Inputs'!$E21-'CBA Inputs'!$E21/'CBA Inputs'!$I21*(AA$58-'CBA Inputs'!$H21+1),0),0)*IF(AA$58=FirstYear+AnalysisPeriod-1,1,0),0)*CapitalCost_ACTIVE*AA$55</f>
        <v>0</v>
      </c>
      <c r="AB97" s="17">
        <f>IFERROR(IF(AB$58&gt;='CBA Inputs'!$H21,MAX('CBA Inputs'!$E21-'CBA Inputs'!$E21/'CBA Inputs'!$I21*(AB$58-'CBA Inputs'!$H21+1),0),0)*IF(AB$58=FirstYear+AnalysisPeriod-1,1,0),0)*CapitalCost_ACTIVE*AB$55</f>
        <v>0</v>
      </c>
      <c r="AC97" s="17">
        <f>IFERROR(IF(AC$58&gt;='CBA Inputs'!$H21,MAX('CBA Inputs'!$E21-'CBA Inputs'!$E21/'CBA Inputs'!$I21*(AC$58-'CBA Inputs'!$H21+1),0),0)*IF(AC$58=FirstYear+AnalysisPeriod-1,1,0),0)*CapitalCost_ACTIVE*AC$55</f>
        <v>0</v>
      </c>
      <c r="AD97" s="17">
        <f>IFERROR(IF(AD$58&gt;='CBA Inputs'!$H21,MAX('CBA Inputs'!$E21-'CBA Inputs'!$E21/'CBA Inputs'!$I21*(AD$58-'CBA Inputs'!$H21+1),0),0)*IF(AD$58=FirstYear+AnalysisPeriod-1,1,0),0)*CapitalCost_ACTIVE*AD$55</f>
        <v>0</v>
      </c>
      <c r="AE97" s="17">
        <f>IFERROR(IF(AE$58&gt;='CBA Inputs'!$H21,MAX('CBA Inputs'!$E21-'CBA Inputs'!$E21/'CBA Inputs'!$I21*(AE$58-'CBA Inputs'!$H21+1),0),0)*IF(AE$58=FirstYear+AnalysisPeriod-1,1,0),0)*CapitalCost_ACTIVE*AE$55</f>
        <v>0</v>
      </c>
      <c r="AF97" s="17">
        <f>IFERROR(IF(AF$58&gt;='CBA Inputs'!$H21,MAX('CBA Inputs'!$E21-'CBA Inputs'!$E21/'CBA Inputs'!$I21*(AF$58-'CBA Inputs'!$H21+1),0),0)*IF(AF$58=FirstYear+AnalysisPeriod-1,1,0),0)*CapitalCost_ACTIVE*AF$55</f>
        <v>53200000</v>
      </c>
      <c r="AG97" s="17">
        <f>IFERROR(IF(AG$58&gt;='CBA Inputs'!$H21,MAX('CBA Inputs'!$E21-'CBA Inputs'!$E21/'CBA Inputs'!$I21*(AG$58-'CBA Inputs'!$H21+1),0),0)*IF(AG$58=FirstYear+AnalysisPeriod-1,1,0),0)*CapitalCost_ACTIVE*AG$55</f>
        <v>0</v>
      </c>
      <c r="AH97" s="17">
        <f>IFERROR(IF(AH$58&gt;='CBA Inputs'!$H21,MAX('CBA Inputs'!$E21-'CBA Inputs'!$E21/'CBA Inputs'!$I21*(AH$58-'CBA Inputs'!$H21+1),0),0)*IF(AH$58=FirstYear+AnalysisPeriod-1,1,0),0)*CapitalCost_ACTIVE*AH$55</f>
        <v>0</v>
      </c>
      <c r="AI97" s="17">
        <f>IFERROR(IF(AI$58&gt;='CBA Inputs'!$H21,MAX('CBA Inputs'!$E21-'CBA Inputs'!$E21/'CBA Inputs'!$I21*(AI$58-'CBA Inputs'!$H21+1),0),0)*IF(AI$58=FirstYear+AnalysisPeriod-1,1,0),0)*CapitalCost_ACTIVE*AI$55</f>
        <v>0</v>
      </c>
      <c r="AJ97" s="17">
        <f>IFERROR(IF(AJ$58&gt;='CBA Inputs'!$H21,MAX('CBA Inputs'!$E21-'CBA Inputs'!$E21/'CBA Inputs'!$I21*(AJ$58-'CBA Inputs'!$H21+1),0),0)*IF(AJ$58=FirstYear+AnalysisPeriod-1,1,0),0)*CapitalCost_ACTIVE*AJ$55</f>
        <v>0</v>
      </c>
      <c r="AM97" s="9">
        <f t="shared" si="35"/>
        <v>2</v>
      </c>
      <c r="AN97" s="26" t="str">
        <f t="shared" si="35"/>
        <v>Option 1B</v>
      </c>
      <c r="AO97" s="26" t="str">
        <f t="shared" si="35"/>
        <v>Substation</v>
      </c>
      <c r="AP97" s="12" t="s">
        <v>35</v>
      </c>
      <c r="AQ97" s="18">
        <f t="shared" si="36"/>
        <v>0</v>
      </c>
      <c r="AR97" s="17">
        <f>IFERROR(IF(G$58&gt;='CBA Inputs'!$R21,MAX('CBA Inputs'!$O21-'CBA Inputs'!$O21/'CBA Inputs'!$S21*(G$58-'CBA Inputs'!$R21+1),0),0)*IF(G$58=FirstYear+AnalysisPeriod-1,1,0),0)*CapitalCost_ACTIVE*G$55*IF(Scenario_Select='CBA Inputs'!$T21,1,0)</f>
        <v>0</v>
      </c>
      <c r="AS97" s="17">
        <f>IFERROR(IF(H$58&gt;='CBA Inputs'!$R21,MAX('CBA Inputs'!$O21-'CBA Inputs'!$O21/'CBA Inputs'!$S21*(H$58-'CBA Inputs'!$R21+1),0),0)*IF(H$58=FirstYear+AnalysisPeriod-1,1,0),0)*CapitalCost_ACTIVE*H$55*IF(Scenario_Select='CBA Inputs'!$T21,1,0)</f>
        <v>0</v>
      </c>
      <c r="AT97" s="17">
        <f>IFERROR(IF(I$58&gt;='CBA Inputs'!$R21,MAX('CBA Inputs'!$O21-'CBA Inputs'!$O21/'CBA Inputs'!$S21*(I$58-'CBA Inputs'!$R21+1),0),0)*IF(I$58=FirstYear+AnalysisPeriod-1,1,0),0)*CapitalCost_ACTIVE*I$55*IF(Scenario_Select='CBA Inputs'!$T21,1,0)</f>
        <v>0</v>
      </c>
      <c r="AU97" s="17">
        <f>IFERROR(IF(J$58&gt;='CBA Inputs'!$R21,MAX('CBA Inputs'!$O21-'CBA Inputs'!$O21/'CBA Inputs'!$S21*(J$58-'CBA Inputs'!$R21+1),0),0)*IF(J$58=FirstYear+AnalysisPeriod-1,1,0),0)*CapitalCost_ACTIVE*J$55*IF(Scenario_Select='CBA Inputs'!$T21,1,0)</f>
        <v>0</v>
      </c>
      <c r="AV97" s="17">
        <f>IFERROR(IF(K$58&gt;='CBA Inputs'!$R21,MAX('CBA Inputs'!$O21-'CBA Inputs'!$O21/'CBA Inputs'!$S21*(K$58-'CBA Inputs'!$R21+1),0),0)*IF(K$58=FirstYear+AnalysisPeriod-1,1,0),0)*CapitalCost_ACTIVE*K$55*IF(Scenario_Select='CBA Inputs'!$T21,1,0)</f>
        <v>0</v>
      </c>
      <c r="AW97" s="17">
        <f>IFERROR(IF(L$58&gt;='CBA Inputs'!$R21,MAX('CBA Inputs'!$O21-'CBA Inputs'!$O21/'CBA Inputs'!$S21*(L$58-'CBA Inputs'!$R21+1),0),0)*IF(L$58=FirstYear+AnalysisPeriod-1,1,0),0)*CapitalCost_ACTIVE*L$55*IF(Scenario_Select='CBA Inputs'!$T21,1,0)</f>
        <v>0</v>
      </c>
      <c r="AX97" s="17">
        <f>IFERROR(IF(M$58&gt;='CBA Inputs'!$R21,MAX('CBA Inputs'!$O21-'CBA Inputs'!$O21/'CBA Inputs'!$S21*(M$58-'CBA Inputs'!$R21+1),0),0)*IF(M$58=FirstYear+AnalysisPeriod-1,1,0),0)*CapitalCost_ACTIVE*M$55*IF(Scenario_Select='CBA Inputs'!$T21,1,0)</f>
        <v>0</v>
      </c>
      <c r="AY97" s="17">
        <f>IFERROR(IF(N$58&gt;='CBA Inputs'!$R21,MAX('CBA Inputs'!$O21-'CBA Inputs'!$O21/'CBA Inputs'!$S21*(N$58-'CBA Inputs'!$R21+1),0),0)*IF(N$58=FirstYear+AnalysisPeriod-1,1,0),0)*CapitalCost_ACTIVE*N$55*IF(Scenario_Select='CBA Inputs'!$T21,1,0)</f>
        <v>0</v>
      </c>
      <c r="AZ97" s="17">
        <f>IFERROR(IF(O$58&gt;='CBA Inputs'!$R21,MAX('CBA Inputs'!$O21-'CBA Inputs'!$O21/'CBA Inputs'!$S21*(O$58-'CBA Inputs'!$R21+1),0),0)*IF(O$58=FirstYear+AnalysisPeriod-1,1,0),0)*CapitalCost_ACTIVE*O$55*IF(Scenario_Select='CBA Inputs'!$T21,1,0)</f>
        <v>0</v>
      </c>
      <c r="BA97" s="17">
        <f>IFERROR(IF(P$58&gt;='CBA Inputs'!$R21,MAX('CBA Inputs'!$O21-'CBA Inputs'!$O21/'CBA Inputs'!$S21*(P$58-'CBA Inputs'!$R21+1),0),0)*IF(P$58=FirstYear+AnalysisPeriod-1,1,0),0)*CapitalCost_ACTIVE*P$55*IF(Scenario_Select='CBA Inputs'!$T21,1,0)</f>
        <v>0</v>
      </c>
      <c r="BB97" s="17">
        <f>IFERROR(IF(Q$58&gt;='CBA Inputs'!$R21,MAX('CBA Inputs'!$O21-'CBA Inputs'!$O21/'CBA Inputs'!$S21*(Q$58-'CBA Inputs'!$R21+1),0),0)*IF(Q$58=FirstYear+AnalysisPeriod-1,1,0),0)*CapitalCost_ACTIVE*Q$55*IF(Scenario_Select='CBA Inputs'!$T21,1,0)</f>
        <v>0</v>
      </c>
      <c r="BC97" s="17">
        <f>IFERROR(IF(R$58&gt;='CBA Inputs'!$R21,MAX('CBA Inputs'!$O21-'CBA Inputs'!$O21/'CBA Inputs'!$S21*(R$58-'CBA Inputs'!$R21+1),0),0)*IF(R$58=FirstYear+AnalysisPeriod-1,1,0),0)*CapitalCost_ACTIVE*R$55*IF(Scenario_Select='CBA Inputs'!$T21,1,0)</f>
        <v>0</v>
      </c>
      <c r="BD97" s="17">
        <f>IFERROR(IF(S$58&gt;='CBA Inputs'!$R21,MAX('CBA Inputs'!$O21-'CBA Inputs'!$O21/'CBA Inputs'!$S21*(S$58-'CBA Inputs'!$R21+1),0),0)*IF(S$58=FirstYear+AnalysisPeriod-1,1,0),0)*CapitalCost_ACTIVE*S$55*IF(Scenario_Select='CBA Inputs'!$T21,1,0)</f>
        <v>0</v>
      </c>
      <c r="BE97" s="17">
        <f>IFERROR(IF(T$58&gt;='CBA Inputs'!$R21,MAX('CBA Inputs'!$O21-'CBA Inputs'!$O21/'CBA Inputs'!$S21*(T$58-'CBA Inputs'!$R21+1),0),0)*IF(T$58=FirstYear+AnalysisPeriod-1,1,0),0)*CapitalCost_ACTIVE*T$55*IF(Scenario_Select='CBA Inputs'!$T21,1,0)</f>
        <v>0</v>
      </c>
      <c r="BF97" s="17">
        <f>IFERROR(IF(U$58&gt;='CBA Inputs'!$R21,MAX('CBA Inputs'!$O21-'CBA Inputs'!$O21/'CBA Inputs'!$S21*(U$58-'CBA Inputs'!$R21+1),0),0)*IF(U$58=FirstYear+AnalysisPeriod-1,1,0),0)*CapitalCost_ACTIVE*U$55*IF(Scenario_Select='CBA Inputs'!$T21,1,0)</f>
        <v>0</v>
      </c>
      <c r="BG97" s="17">
        <f>IFERROR(IF(V$58&gt;='CBA Inputs'!$R21,MAX('CBA Inputs'!$O21-'CBA Inputs'!$O21/'CBA Inputs'!$S21*(V$58-'CBA Inputs'!$R21+1),0),0)*IF(V$58=FirstYear+AnalysisPeriod-1,1,0),0)*CapitalCost_ACTIVE*V$55*IF(Scenario_Select='CBA Inputs'!$T21,1,0)</f>
        <v>0</v>
      </c>
      <c r="BH97" s="17">
        <f>IFERROR(IF(W$58&gt;='CBA Inputs'!$R21,MAX('CBA Inputs'!$O21-'CBA Inputs'!$O21/'CBA Inputs'!$S21*(W$58-'CBA Inputs'!$R21+1),0),0)*IF(W$58=FirstYear+AnalysisPeriod-1,1,0),0)*CapitalCost_ACTIVE*W$55*IF(Scenario_Select='CBA Inputs'!$T21,1,0)</f>
        <v>0</v>
      </c>
      <c r="BI97" s="17">
        <f>IFERROR(IF(X$58&gt;='CBA Inputs'!$R21,MAX('CBA Inputs'!$O21-'CBA Inputs'!$O21/'CBA Inputs'!$S21*(X$58-'CBA Inputs'!$R21+1),0),0)*IF(X$58=FirstYear+AnalysisPeriod-1,1,0),0)*CapitalCost_ACTIVE*X$55*IF(Scenario_Select='CBA Inputs'!$T21,1,0)</f>
        <v>0</v>
      </c>
      <c r="BJ97" s="17">
        <f>IFERROR(IF(Y$58&gt;='CBA Inputs'!$R21,MAX('CBA Inputs'!$O21-'CBA Inputs'!$O21/'CBA Inputs'!$S21*(Y$58-'CBA Inputs'!$R21+1),0),0)*IF(Y$58=FirstYear+AnalysisPeriod-1,1,0),0)*CapitalCost_ACTIVE*Y$55*IF(Scenario_Select='CBA Inputs'!$T21,1,0)</f>
        <v>0</v>
      </c>
      <c r="BK97" s="17">
        <f>IFERROR(IF(Z$58&gt;='CBA Inputs'!$R21,MAX('CBA Inputs'!$O21-'CBA Inputs'!$O21/'CBA Inputs'!$S21*(Z$58-'CBA Inputs'!$R21+1),0),0)*IF(Z$58=FirstYear+AnalysisPeriod-1,1,0),0)*CapitalCost_ACTIVE*Z$55*IF(Scenario_Select='CBA Inputs'!$T21,1,0)</f>
        <v>0</v>
      </c>
      <c r="BL97" s="17">
        <f>IFERROR(IF(AA$58&gt;='CBA Inputs'!$R21,MAX('CBA Inputs'!$O21-'CBA Inputs'!$O21/'CBA Inputs'!$S21*(AA$58-'CBA Inputs'!$R21+1),0),0)*IF(AA$58=FirstYear+AnalysisPeriod-1,1,0),0)*CapitalCost_ACTIVE*AA$55*IF(Scenario_Select='CBA Inputs'!$T21,1,0)</f>
        <v>0</v>
      </c>
      <c r="BM97" s="17">
        <f>IFERROR(IF(AB$58&gt;='CBA Inputs'!$R21,MAX('CBA Inputs'!$O21-'CBA Inputs'!$O21/'CBA Inputs'!$S21*(AB$58-'CBA Inputs'!$R21+1),0),0)*IF(AB$58=FirstYear+AnalysisPeriod-1,1,0),0)*CapitalCost_ACTIVE*AB$55*IF(Scenario_Select='CBA Inputs'!$T21,1,0)</f>
        <v>0</v>
      </c>
      <c r="BN97" s="17">
        <f>IFERROR(IF(AC$58&gt;='CBA Inputs'!$R21,MAX('CBA Inputs'!$O21-'CBA Inputs'!$O21/'CBA Inputs'!$S21*(AC$58-'CBA Inputs'!$R21+1),0),0)*IF(AC$58=FirstYear+AnalysisPeriod-1,1,0),0)*CapitalCost_ACTIVE*AC$55*IF(Scenario_Select='CBA Inputs'!$T21,1,0)</f>
        <v>0</v>
      </c>
      <c r="BO97" s="17">
        <f>IFERROR(IF(AD$58&gt;='CBA Inputs'!$R21,MAX('CBA Inputs'!$O21-'CBA Inputs'!$O21/'CBA Inputs'!$S21*(AD$58-'CBA Inputs'!$R21+1),0),0)*IF(AD$58=FirstYear+AnalysisPeriod-1,1,0),0)*CapitalCost_ACTIVE*AD$55*IF(Scenario_Select='CBA Inputs'!$T21,1,0)</f>
        <v>0</v>
      </c>
      <c r="BP97" s="17">
        <f>IFERROR(IF(AE$58&gt;='CBA Inputs'!$R21,MAX('CBA Inputs'!$O21-'CBA Inputs'!$O21/'CBA Inputs'!$S21*(AE$58-'CBA Inputs'!$R21+1),0),0)*IF(AE$58=FirstYear+AnalysisPeriod-1,1,0),0)*CapitalCost_ACTIVE*AE$55*IF(Scenario_Select='CBA Inputs'!$T21,1,0)</f>
        <v>0</v>
      </c>
      <c r="BQ97" s="17">
        <f>IFERROR(IF(AF$58&gt;='CBA Inputs'!$R21,MAX('CBA Inputs'!$O21-'CBA Inputs'!$O21/'CBA Inputs'!$S21*(AF$58-'CBA Inputs'!$R21+1),0),0)*IF(AF$58=FirstYear+AnalysisPeriod-1,1,0),0)*CapitalCost_ACTIVE*AF$55*IF(Scenario_Select='CBA Inputs'!$T21,1,0)</f>
        <v>0</v>
      </c>
      <c r="BR97" s="17">
        <f>IFERROR(IF(AG$58&gt;='CBA Inputs'!$R21,MAX('CBA Inputs'!$O21-'CBA Inputs'!$O21/'CBA Inputs'!$S21*(AG$58-'CBA Inputs'!$R21+1),0),0)*IF(AG$58=FirstYear+AnalysisPeriod-1,1,0),0)*CapitalCost_ACTIVE*AG$55*IF(Scenario_Select='CBA Inputs'!$T21,1,0)</f>
        <v>0</v>
      </c>
      <c r="BS97" s="17">
        <f>IFERROR(IF(AH$58&gt;='CBA Inputs'!$R21,MAX('CBA Inputs'!$O21-'CBA Inputs'!$O21/'CBA Inputs'!$S21*(AH$58-'CBA Inputs'!$R21+1),0),0)*IF(AH$58=FirstYear+AnalysisPeriod-1,1,0),0)*CapitalCost_ACTIVE*AH$55*IF(Scenario_Select='CBA Inputs'!$T21,1,0)</f>
        <v>0</v>
      </c>
      <c r="BT97" s="17">
        <f>IFERROR(IF(AI$58&gt;='CBA Inputs'!$R21,MAX('CBA Inputs'!$O21-'CBA Inputs'!$O21/'CBA Inputs'!$S21*(AI$58-'CBA Inputs'!$R21+1),0),0)*IF(AI$58=FirstYear+AnalysisPeriod-1,1,0),0)*CapitalCost_ACTIVE*AI$55*IF(Scenario_Select='CBA Inputs'!$T21,1,0)</f>
        <v>0</v>
      </c>
      <c r="BU97" s="17">
        <f>IFERROR(IF(AJ$58&gt;='CBA Inputs'!$R21,MAX('CBA Inputs'!$O21-'CBA Inputs'!$O21/'CBA Inputs'!$S21*(AJ$58-'CBA Inputs'!$R21+1),0),0)*IF(AJ$58=FirstYear+AnalysisPeriod-1,1,0),0)*CapitalCost_ACTIVE*AJ$55*IF(Scenario_Select='CBA Inputs'!$T21,1,0)</f>
        <v>0</v>
      </c>
    </row>
    <row r="98" spans="1:73" x14ac:dyDescent="0.35">
      <c r="B98" s="9">
        <f t="shared" si="30"/>
        <v>2</v>
      </c>
      <c r="C98" s="26" t="str">
        <f t="shared" si="30"/>
        <v>Option 1B</v>
      </c>
      <c r="D98" s="26" t="str">
        <f t="shared" si="33"/>
        <v xml:space="preserve">Lines </v>
      </c>
      <c r="E98" s="12" t="s">
        <v>35</v>
      </c>
      <c r="F98" s="18">
        <f t="shared" si="34"/>
        <v>116919163.57961111</v>
      </c>
      <c r="G98" s="17">
        <f>IFERROR(IF(G$58&gt;='CBA Inputs'!$H22,MAX('CBA Inputs'!$E22-'CBA Inputs'!$E22/'CBA Inputs'!$I22*(G$58-'CBA Inputs'!$H22+1),0),0)*IF(G$58=FirstYear+AnalysisPeriod-1,1,0),0)*CapitalCost_ACTIVE*G$55</f>
        <v>0</v>
      </c>
      <c r="H98" s="17">
        <f>IFERROR(IF(H$58&gt;='CBA Inputs'!$H22,MAX('CBA Inputs'!$E22-'CBA Inputs'!$E22/'CBA Inputs'!$I22*(H$58-'CBA Inputs'!$H22+1),0),0)*IF(H$58=FirstYear+AnalysisPeriod-1,1,0),0)*CapitalCost_ACTIVE*H$55</f>
        <v>0</v>
      </c>
      <c r="I98" s="17">
        <f>IFERROR(IF(I$58&gt;='CBA Inputs'!$H22,MAX('CBA Inputs'!$E22-'CBA Inputs'!$E22/'CBA Inputs'!$I22*(I$58-'CBA Inputs'!$H22+1),0),0)*IF(I$58=FirstYear+AnalysisPeriod-1,1,0),0)*CapitalCost_ACTIVE*I$55</f>
        <v>0</v>
      </c>
      <c r="J98" s="17">
        <f>IFERROR(IF(J$58&gt;='CBA Inputs'!$H22,MAX('CBA Inputs'!$E22-'CBA Inputs'!$E22/'CBA Inputs'!$I22*(J$58-'CBA Inputs'!$H22+1),0),0)*IF(J$58=FirstYear+AnalysisPeriod-1,1,0),0)*CapitalCost_ACTIVE*J$55</f>
        <v>0</v>
      </c>
      <c r="K98" s="17">
        <f>IFERROR(IF(K$58&gt;='CBA Inputs'!$H22,MAX('CBA Inputs'!$E22-'CBA Inputs'!$E22/'CBA Inputs'!$I22*(K$58-'CBA Inputs'!$H22+1),0),0)*IF(K$58=FirstYear+AnalysisPeriod-1,1,0),0)*CapitalCost_ACTIVE*K$55</f>
        <v>0</v>
      </c>
      <c r="L98" s="17">
        <f>IFERROR(IF(L$58&gt;='CBA Inputs'!$H22,MAX('CBA Inputs'!$E22-'CBA Inputs'!$E22/'CBA Inputs'!$I22*(L$58-'CBA Inputs'!$H22+1),0),0)*IF(L$58=FirstYear+AnalysisPeriod-1,1,0),0)*CapitalCost_ACTIVE*L$55</f>
        <v>0</v>
      </c>
      <c r="M98" s="17">
        <f>IFERROR(IF(M$58&gt;='CBA Inputs'!$H22,MAX('CBA Inputs'!$E22-'CBA Inputs'!$E22/'CBA Inputs'!$I22*(M$58-'CBA Inputs'!$H22+1),0),0)*IF(M$58=FirstYear+AnalysisPeriod-1,1,0),0)*CapitalCost_ACTIVE*M$55</f>
        <v>0</v>
      </c>
      <c r="N98" s="17">
        <f>IFERROR(IF(N$58&gt;='CBA Inputs'!$H22,MAX('CBA Inputs'!$E22-'CBA Inputs'!$E22/'CBA Inputs'!$I22*(N$58-'CBA Inputs'!$H22+1),0),0)*IF(N$58=FirstYear+AnalysisPeriod-1,1,0),0)*CapitalCost_ACTIVE*N$55</f>
        <v>0</v>
      </c>
      <c r="O98" s="17">
        <f>IFERROR(IF(O$58&gt;='CBA Inputs'!$H22,MAX('CBA Inputs'!$E22-'CBA Inputs'!$E22/'CBA Inputs'!$I22*(O$58-'CBA Inputs'!$H22+1),0),0)*IF(O$58=FirstYear+AnalysisPeriod-1,1,0),0)*CapitalCost_ACTIVE*O$55</f>
        <v>0</v>
      </c>
      <c r="P98" s="17">
        <f>IFERROR(IF(P$58&gt;='CBA Inputs'!$H22,MAX('CBA Inputs'!$E22-'CBA Inputs'!$E22/'CBA Inputs'!$I22*(P$58-'CBA Inputs'!$H22+1),0),0)*IF(P$58=FirstYear+AnalysisPeriod-1,1,0),0)*CapitalCost_ACTIVE*P$55</f>
        <v>0</v>
      </c>
      <c r="Q98" s="17">
        <f>IFERROR(IF(Q$58&gt;='CBA Inputs'!$H22,MAX('CBA Inputs'!$E22-'CBA Inputs'!$E22/'CBA Inputs'!$I22*(Q$58-'CBA Inputs'!$H22+1),0),0)*IF(Q$58=FirstYear+AnalysisPeriod-1,1,0),0)*CapitalCost_ACTIVE*Q$55</f>
        <v>0</v>
      </c>
      <c r="R98" s="17">
        <f>IFERROR(IF(R$58&gt;='CBA Inputs'!$H22,MAX('CBA Inputs'!$E22-'CBA Inputs'!$E22/'CBA Inputs'!$I22*(R$58-'CBA Inputs'!$H22+1),0),0)*IF(R$58=FirstYear+AnalysisPeriod-1,1,0),0)*CapitalCost_ACTIVE*R$55</f>
        <v>0</v>
      </c>
      <c r="S98" s="17">
        <f>IFERROR(IF(S$58&gt;='CBA Inputs'!$H22,MAX('CBA Inputs'!$E22-'CBA Inputs'!$E22/'CBA Inputs'!$I22*(S$58-'CBA Inputs'!$H22+1),0),0)*IF(S$58=FirstYear+AnalysisPeriod-1,1,0),0)*CapitalCost_ACTIVE*S$55</f>
        <v>0</v>
      </c>
      <c r="T98" s="17">
        <f>IFERROR(IF(T$58&gt;='CBA Inputs'!$H22,MAX('CBA Inputs'!$E22-'CBA Inputs'!$E22/'CBA Inputs'!$I22*(T$58-'CBA Inputs'!$H22+1),0),0)*IF(T$58=FirstYear+AnalysisPeriod-1,1,0),0)*CapitalCost_ACTIVE*T$55</f>
        <v>0</v>
      </c>
      <c r="U98" s="17">
        <f>IFERROR(IF(U$58&gt;='CBA Inputs'!$H22,MAX('CBA Inputs'!$E22-'CBA Inputs'!$E22/'CBA Inputs'!$I22*(U$58-'CBA Inputs'!$H22+1),0),0)*IF(U$58=FirstYear+AnalysisPeriod-1,1,0),0)*CapitalCost_ACTIVE*U$55</f>
        <v>0</v>
      </c>
      <c r="V98" s="17">
        <f>IFERROR(IF(V$58&gt;='CBA Inputs'!$H22,MAX('CBA Inputs'!$E22-'CBA Inputs'!$E22/'CBA Inputs'!$I22*(V$58-'CBA Inputs'!$H22+1),0),0)*IF(V$58=FirstYear+AnalysisPeriod-1,1,0),0)*CapitalCost_ACTIVE*V$55</f>
        <v>0</v>
      </c>
      <c r="W98" s="17">
        <f>IFERROR(IF(W$58&gt;='CBA Inputs'!$H22,MAX('CBA Inputs'!$E22-'CBA Inputs'!$E22/'CBA Inputs'!$I22*(W$58-'CBA Inputs'!$H22+1),0),0)*IF(W$58=FirstYear+AnalysisPeriod-1,1,0),0)*CapitalCost_ACTIVE*W$55</f>
        <v>0</v>
      </c>
      <c r="X98" s="17">
        <f>IFERROR(IF(X$58&gt;='CBA Inputs'!$H22,MAX('CBA Inputs'!$E22-'CBA Inputs'!$E22/'CBA Inputs'!$I22*(X$58-'CBA Inputs'!$H22+1),0),0)*IF(X$58=FirstYear+AnalysisPeriod-1,1,0),0)*CapitalCost_ACTIVE*X$55</f>
        <v>0</v>
      </c>
      <c r="Y98" s="17">
        <f>IFERROR(IF(Y$58&gt;='CBA Inputs'!$H22,MAX('CBA Inputs'!$E22-'CBA Inputs'!$E22/'CBA Inputs'!$I22*(Y$58-'CBA Inputs'!$H22+1),0),0)*IF(Y$58=FirstYear+AnalysisPeriod-1,1,0),0)*CapitalCost_ACTIVE*Y$55</f>
        <v>0</v>
      </c>
      <c r="Z98" s="17">
        <f>IFERROR(IF(Z$58&gt;='CBA Inputs'!$H22,MAX('CBA Inputs'!$E22-'CBA Inputs'!$E22/'CBA Inputs'!$I22*(Z$58-'CBA Inputs'!$H22+1),0),0)*IF(Z$58=FirstYear+AnalysisPeriod-1,1,0),0)*CapitalCost_ACTIVE*Z$55</f>
        <v>0</v>
      </c>
      <c r="AA98" s="17">
        <f>IFERROR(IF(AA$58&gt;='CBA Inputs'!$H22,MAX('CBA Inputs'!$E22-'CBA Inputs'!$E22/'CBA Inputs'!$I22*(AA$58-'CBA Inputs'!$H22+1),0),0)*IF(AA$58=FirstYear+AnalysisPeriod-1,1,0),0)*CapitalCost_ACTIVE*AA$55</f>
        <v>0</v>
      </c>
      <c r="AB98" s="17">
        <f>IFERROR(IF(AB$58&gt;='CBA Inputs'!$H22,MAX('CBA Inputs'!$E22-'CBA Inputs'!$E22/'CBA Inputs'!$I22*(AB$58-'CBA Inputs'!$H22+1),0),0)*IF(AB$58=FirstYear+AnalysisPeriod-1,1,0),0)*CapitalCost_ACTIVE*AB$55</f>
        <v>0</v>
      </c>
      <c r="AC98" s="17">
        <f>IFERROR(IF(AC$58&gt;='CBA Inputs'!$H22,MAX('CBA Inputs'!$E22-'CBA Inputs'!$E22/'CBA Inputs'!$I22*(AC$58-'CBA Inputs'!$H22+1),0),0)*IF(AC$58=FirstYear+AnalysisPeriod-1,1,0),0)*CapitalCost_ACTIVE*AC$55</f>
        <v>0</v>
      </c>
      <c r="AD98" s="17">
        <f>IFERROR(IF(AD$58&gt;='CBA Inputs'!$H22,MAX('CBA Inputs'!$E22-'CBA Inputs'!$E22/'CBA Inputs'!$I22*(AD$58-'CBA Inputs'!$H22+1),0),0)*IF(AD$58=FirstYear+AnalysisPeriod-1,1,0),0)*CapitalCost_ACTIVE*AD$55</f>
        <v>0</v>
      </c>
      <c r="AE98" s="17">
        <f>IFERROR(IF(AE$58&gt;='CBA Inputs'!$H22,MAX('CBA Inputs'!$E22-'CBA Inputs'!$E22/'CBA Inputs'!$I22*(AE$58-'CBA Inputs'!$H22+1),0),0)*IF(AE$58=FirstYear+AnalysisPeriod-1,1,0),0)*CapitalCost_ACTIVE*AE$55</f>
        <v>0</v>
      </c>
      <c r="AF98" s="17">
        <f>IFERROR(IF(AF$58&gt;='CBA Inputs'!$H22,MAX('CBA Inputs'!$E22-'CBA Inputs'!$E22/'CBA Inputs'!$I22*(AF$58-'CBA Inputs'!$H22+1),0),0)*IF(AF$58=FirstYear+AnalysisPeriod-1,1,0),0)*CapitalCost_ACTIVE*AF$55</f>
        <v>490100000</v>
      </c>
      <c r="AG98" s="17">
        <f>IFERROR(IF(AG$58&gt;='CBA Inputs'!$H22,MAX('CBA Inputs'!$E22-'CBA Inputs'!$E22/'CBA Inputs'!$I22*(AG$58-'CBA Inputs'!$H22+1),0),0)*IF(AG$58=FirstYear+AnalysisPeriod-1,1,0),0)*CapitalCost_ACTIVE*AG$55</f>
        <v>0</v>
      </c>
      <c r="AH98" s="17">
        <f>IFERROR(IF(AH$58&gt;='CBA Inputs'!$H22,MAX('CBA Inputs'!$E22-'CBA Inputs'!$E22/'CBA Inputs'!$I22*(AH$58-'CBA Inputs'!$H22+1),0),0)*IF(AH$58=FirstYear+AnalysisPeriod-1,1,0),0)*CapitalCost_ACTIVE*AH$55</f>
        <v>0</v>
      </c>
      <c r="AI98" s="17">
        <f>IFERROR(IF(AI$58&gt;='CBA Inputs'!$H22,MAX('CBA Inputs'!$E22-'CBA Inputs'!$E22/'CBA Inputs'!$I22*(AI$58-'CBA Inputs'!$H22+1),0),0)*IF(AI$58=FirstYear+AnalysisPeriod-1,1,0),0)*CapitalCost_ACTIVE*AI$55</f>
        <v>0</v>
      </c>
      <c r="AJ98" s="17">
        <f>IFERROR(IF(AJ$58&gt;='CBA Inputs'!$H22,MAX('CBA Inputs'!$E22-'CBA Inputs'!$E22/'CBA Inputs'!$I22*(AJ$58-'CBA Inputs'!$H22+1),0),0)*IF(AJ$58=FirstYear+AnalysisPeriod-1,1,0),0)*CapitalCost_ACTIVE*AJ$55</f>
        <v>0</v>
      </c>
      <c r="AM98" s="9">
        <f t="shared" si="35"/>
        <v>2</v>
      </c>
      <c r="AN98" s="26" t="str">
        <f t="shared" si="35"/>
        <v>Option 1B</v>
      </c>
      <c r="AO98" s="26" t="str">
        <f t="shared" si="35"/>
        <v>Substation</v>
      </c>
      <c r="AP98" s="12" t="s">
        <v>35</v>
      </c>
      <c r="AQ98" s="18">
        <f t="shared" si="36"/>
        <v>0</v>
      </c>
      <c r="AR98" s="17">
        <f>IFERROR(IF(G$58&gt;='CBA Inputs'!$R22,MAX('CBA Inputs'!$O22-'CBA Inputs'!$O22/'CBA Inputs'!$S22*(G$58-'CBA Inputs'!$R22+1),0),0)*IF(G$58=FirstYear+AnalysisPeriod-1,1,0),0)*CapitalCost_ACTIVE*G$55*IF(Scenario_Select='CBA Inputs'!$T22,1,0)</f>
        <v>0</v>
      </c>
      <c r="AS98" s="17">
        <f>IFERROR(IF(H$58&gt;='CBA Inputs'!$R22,MAX('CBA Inputs'!$O22-'CBA Inputs'!$O22/'CBA Inputs'!$S22*(H$58-'CBA Inputs'!$R22+1),0),0)*IF(H$58=FirstYear+AnalysisPeriod-1,1,0),0)*CapitalCost_ACTIVE*H$55*IF(Scenario_Select='CBA Inputs'!$T22,1,0)</f>
        <v>0</v>
      </c>
      <c r="AT98" s="17">
        <f>IFERROR(IF(I$58&gt;='CBA Inputs'!$R22,MAX('CBA Inputs'!$O22-'CBA Inputs'!$O22/'CBA Inputs'!$S22*(I$58-'CBA Inputs'!$R22+1),0),0)*IF(I$58=FirstYear+AnalysisPeriod-1,1,0),0)*CapitalCost_ACTIVE*I$55*IF(Scenario_Select='CBA Inputs'!$T22,1,0)</f>
        <v>0</v>
      </c>
      <c r="AU98" s="17">
        <f>IFERROR(IF(J$58&gt;='CBA Inputs'!$R22,MAX('CBA Inputs'!$O22-'CBA Inputs'!$O22/'CBA Inputs'!$S22*(J$58-'CBA Inputs'!$R22+1),0),0)*IF(J$58=FirstYear+AnalysisPeriod-1,1,0),0)*CapitalCost_ACTIVE*J$55*IF(Scenario_Select='CBA Inputs'!$T22,1,0)</f>
        <v>0</v>
      </c>
      <c r="AV98" s="17">
        <f>IFERROR(IF(K$58&gt;='CBA Inputs'!$R22,MAX('CBA Inputs'!$O22-'CBA Inputs'!$O22/'CBA Inputs'!$S22*(K$58-'CBA Inputs'!$R22+1),0),0)*IF(K$58=FirstYear+AnalysisPeriod-1,1,0),0)*CapitalCost_ACTIVE*K$55*IF(Scenario_Select='CBA Inputs'!$T22,1,0)</f>
        <v>0</v>
      </c>
      <c r="AW98" s="17">
        <f>IFERROR(IF(L$58&gt;='CBA Inputs'!$R22,MAX('CBA Inputs'!$O22-'CBA Inputs'!$O22/'CBA Inputs'!$S22*(L$58-'CBA Inputs'!$R22+1),0),0)*IF(L$58=FirstYear+AnalysisPeriod-1,1,0),0)*CapitalCost_ACTIVE*L$55*IF(Scenario_Select='CBA Inputs'!$T22,1,0)</f>
        <v>0</v>
      </c>
      <c r="AX98" s="17">
        <f>IFERROR(IF(M$58&gt;='CBA Inputs'!$R22,MAX('CBA Inputs'!$O22-'CBA Inputs'!$O22/'CBA Inputs'!$S22*(M$58-'CBA Inputs'!$R22+1),0),0)*IF(M$58=FirstYear+AnalysisPeriod-1,1,0),0)*CapitalCost_ACTIVE*M$55*IF(Scenario_Select='CBA Inputs'!$T22,1,0)</f>
        <v>0</v>
      </c>
      <c r="AY98" s="17">
        <f>IFERROR(IF(N$58&gt;='CBA Inputs'!$R22,MAX('CBA Inputs'!$O22-'CBA Inputs'!$O22/'CBA Inputs'!$S22*(N$58-'CBA Inputs'!$R22+1),0),0)*IF(N$58=FirstYear+AnalysisPeriod-1,1,0),0)*CapitalCost_ACTIVE*N$55*IF(Scenario_Select='CBA Inputs'!$T22,1,0)</f>
        <v>0</v>
      </c>
      <c r="AZ98" s="17">
        <f>IFERROR(IF(O$58&gt;='CBA Inputs'!$R22,MAX('CBA Inputs'!$O22-'CBA Inputs'!$O22/'CBA Inputs'!$S22*(O$58-'CBA Inputs'!$R22+1),0),0)*IF(O$58=FirstYear+AnalysisPeriod-1,1,0),0)*CapitalCost_ACTIVE*O$55*IF(Scenario_Select='CBA Inputs'!$T22,1,0)</f>
        <v>0</v>
      </c>
      <c r="BA98" s="17">
        <f>IFERROR(IF(P$58&gt;='CBA Inputs'!$R22,MAX('CBA Inputs'!$O22-'CBA Inputs'!$O22/'CBA Inputs'!$S22*(P$58-'CBA Inputs'!$R22+1),0),0)*IF(P$58=FirstYear+AnalysisPeriod-1,1,0),0)*CapitalCost_ACTIVE*P$55*IF(Scenario_Select='CBA Inputs'!$T22,1,0)</f>
        <v>0</v>
      </c>
      <c r="BB98" s="17">
        <f>IFERROR(IF(Q$58&gt;='CBA Inputs'!$R22,MAX('CBA Inputs'!$O22-'CBA Inputs'!$O22/'CBA Inputs'!$S22*(Q$58-'CBA Inputs'!$R22+1),0),0)*IF(Q$58=FirstYear+AnalysisPeriod-1,1,0),0)*CapitalCost_ACTIVE*Q$55*IF(Scenario_Select='CBA Inputs'!$T22,1,0)</f>
        <v>0</v>
      </c>
      <c r="BC98" s="17">
        <f>IFERROR(IF(R$58&gt;='CBA Inputs'!$R22,MAX('CBA Inputs'!$O22-'CBA Inputs'!$O22/'CBA Inputs'!$S22*(R$58-'CBA Inputs'!$R22+1),0),0)*IF(R$58=FirstYear+AnalysisPeriod-1,1,0),0)*CapitalCost_ACTIVE*R$55*IF(Scenario_Select='CBA Inputs'!$T22,1,0)</f>
        <v>0</v>
      </c>
      <c r="BD98" s="17">
        <f>IFERROR(IF(S$58&gt;='CBA Inputs'!$R22,MAX('CBA Inputs'!$O22-'CBA Inputs'!$O22/'CBA Inputs'!$S22*(S$58-'CBA Inputs'!$R22+1),0),0)*IF(S$58=FirstYear+AnalysisPeriod-1,1,0),0)*CapitalCost_ACTIVE*S$55*IF(Scenario_Select='CBA Inputs'!$T22,1,0)</f>
        <v>0</v>
      </c>
      <c r="BE98" s="17">
        <f>IFERROR(IF(T$58&gt;='CBA Inputs'!$R22,MAX('CBA Inputs'!$O22-'CBA Inputs'!$O22/'CBA Inputs'!$S22*(T$58-'CBA Inputs'!$R22+1),0),0)*IF(T$58=FirstYear+AnalysisPeriod-1,1,0),0)*CapitalCost_ACTIVE*T$55*IF(Scenario_Select='CBA Inputs'!$T22,1,0)</f>
        <v>0</v>
      </c>
      <c r="BF98" s="17">
        <f>IFERROR(IF(U$58&gt;='CBA Inputs'!$R22,MAX('CBA Inputs'!$O22-'CBA Inputs'!$O22/'CBA Inputs'!$S22*(U$58-'CBA Inputs'!$R22+1),0),0)*IF(U$58=FirstYear+AnalysisPeriod-1,1,0),0)*CapitalCost_ACTIVE*U$55*IF(Scenario_Select='CBA Inputs'!$T22,1,0)</f>
        <v>0</v>
      </c>
      <c r="BG98" s="17">
        <f>IFERROR(IF(V$58&gt;='CBA Inputs'!$R22,MAX('CBA Inputs'!$O22-'CBA Inputs'!$O22/'CBA Inputs'!$S22*(V$58-'CBA Inputs'!$R22+1),0),0)*IF(V$58=FirstYear+AnalysisPeriod-1,1,0),0)*CapitalCost_ACTIVE*V$55*IF(Scenario_Select='CBA Inputs'!$T22,1,0)</f>
        <v>0</v>
      </c>
      <c r="BH98" s="17">
        <f>IFERROR(IF(W$58&gt;='CBA Inputs'!$R22,MAX('CBA Inputs'!$O22-'CBA Inputs'!$O22/'CBA Inputs'!$S22*(W$58-'CBA Inputs'!$R22+1),0),0)*IF(W$58=FirstYear+AnalysisPeriod-1,1,0),0)*CapitalCost_ACTIVE*W$55*IF(Scenario_Select='CBA Inputs'!$T22,1,0)</f>
        <v>0</v>
      </c>
      <c r="BI98" s="17">
        <f>IFERROR(IF(X$58&gt;='CBA Inputs'!$R22,MAX('CBA Inputs'!$O22-'CBA Inputs'!$O22/'CBA Inputs'!$S22*(X$58-'CBA Inputs'!$R22+1),0),0)*IF(X$58=FirstYear+AnalysisPeriod-1,1,0),0)*CapitalCost_ACTIVE*X$55*IF(Scenario_Select='CBA Inputs'!$T22,1,0)</f>
        <v>0</v>
      </c>
      <c r="BJ98" s="17">
        <f>IFERROR(IF(Y$58&gt;='CBA Inputs'!$R22,MAX('CBA Inputs'!$O22-'CBA Inputs'!$O22/'CBA Inputs'!$S22*(Y$58-'CBA Inputs'!$R22+1),0),0)*IF(Y$58=FirstYear+AnalysisPeriod-1,1,0),0)*CapitalCost_ACTIVE*Y$55*IF(Scenario_Select='CBA Inputs'!$T22,1,0)</f>
        <v>0</v>
      </c>
      <c r="BK98" s="17">
        <f>IFERROR(IF(Z$58&gt;='CBA Inputs'!$R22,MAX('CBA Inputs'!$O22-'CBA Inputs'!$O22/'CBA Inputs'!$S22*(Z$58-'CBA Inputs'!$R22+1),0),0)*IF(Z$58=FirstYear+AnalysisPeriod-1,1,0),0)*CapitalCost_ACTIVE*Z$55*IF(Scenario_Select='CBA Inputs'!$T22,1,0)</f>
        <v>0</v>
      </c>
      <c r="BL98" s="17">
        <f>IFERROR(IF(AA$58&gt;='CBA Inputs'!$R22,MAX('CBA Inputs'!$O22-'CBA Inputs'!$O22/'CBA Inputs'!$S22*(AA$58-'CBA Inputs'!$R22+1),0),0)*IF(AA$58=FirstYear+AnalysisPeriod-1,1,0),0)*CapitalCost_ACTIVE*AA$55*IF(Scenario_Select='CBA Inputs'!$T22,1,0)</f>
        <v>0</v>
      </c>
      <c r="BM98" s="17">
        <f>IFERROR(IF(AB$58&gt;='CBA Inputs'!$R22,MAX('CBA Inputs'!$O22-'CBA Inputs'!$O22/'CBA Inputs'!$S22*(AB$58-'CBA Inputs'!$R22+1),0),0)*IF(AB$58=FirstYear+AnalysisPeriod-1,1,0),0)*CapitalCost_ACTIVE*AB$55*IF(Scenario_Select='CBA Inputs'!$T22,1,0)</f>
        <v>0</v>
      </c>
      <c r="BN98" s="17">
        <f>IFERROR(IF(AC$58&gt;='CBA Inputs'!$R22,MAX('CBA Inputs'!$O22-'CBA Inputs'!$O22/'CBA Inputs'!$S22*(AC$58-'CBA Inputs'!$R22+1),0),0)*IF(AC$58=FirstYear+AnalysisPeriod-1,1,0),0)*CapitalCost_ACTIVE*AC$55*IF(Scenario_Select='CBA Inputs'!$T22,1,0)</f>
        <v>0</v>
      </c>
      <c r="BO98" s="17">
        <f>IFERROR(IF(AD$58&gt;='CBA Inputs'!$R22,MAX('CBA Inputs'!$O22-'CBA Inputs'!$O22/'CBA Inputs'!$S22*(AD$58-'CBA Inputs'!$R22+1),0),0)*IF(AD$58=FirstYear+AnalysisPeriod-1,1,0),0)*CapitalCost_ACTIVE*AD$55*IF(Scenario_Select='CBA Inputs'!$T22,1,0)</f>
        <v>0</v>
      </c>
      <c r="BP98" s="17">
        <f>IFERROR(IF(AE$58&gt;='CBA Inputs'!$R22,MAX('CBA Inputs'!$O22-'CBA Inputs'!$O22/'CBA Inputs'!$S22*(AE$58-'CBA Inputs'!$R22+1),0),0)*IF(AE$58=FirstYear+AnalysisPeriod-1,1,0),0)*CapitalCost_ACTIVE*AE$55*IF(Scenario_Select='CBA Inputs'!$T22,1,0)</f>
        <v>0</v>
      </c>
      <c r="BQ98" s="17">
        <f>IFERROR(IF(AF$58&gt;='CBA Inputs'!$R22,MAX('CBA Inputs'!$O22-'CBA Inputs'!$O22/'CBA Inputs'!$S22*(AF$58-'CBA Inputs'!$R22+1),0),0)*IF(AF$58=FirstYear+AnalysisPeriod-1,1,0),0)*CapitalCost_ACTIVE*AF$55*IF(Scenario_Select='CBA Inputs'!$T22,1,0)</f>
        <v>0</v>
      </c>
      <c r="BR98" s="17">
        <f>IFERROR(IF(AG$58&gt;='CBA Inputs'!$R22,MAX('CBA Inputs'!$O22-'CBA Inputs'!$O22/'CBA Inputs'!$S22*(AG$58-'CBA Inputs'!$R22+1),0),0)*IF(AG$58=FirstYear+AnalysisPeriod-1,1,0),0)*CapitalCost_ACTIVE*AG$55*IF(Scenario_Select='CBA Inputs'!$T22,1,0)</f>
        <v>0</v>
      </c>
      <c r="BS98" s="17">
        <f>IFERROR(IF(AH$58&gt;='CBA Inputs'!$R22,MAX('CBA Inputs'!$O22-'CBA Inputs'!$O22/'CBA Inputs'!$S22*(AH$58-'CBA Inputs'!$R22+1),0),0)*IF(AH$58=FirstYear+AnalysisPeriod-1,1,0),0)*CapitalCost_ACTIVE*AH$55*IF(Scenario_Select='CBA Inputs'!$T22,1,0)</f>
        <v>0</v>
      </c>
      <c r="BT98" s="17">
        <f>IFERROR(IF(AI$58&gt;='CBA Inputs'!$R22,MAX('CBA Inputs'!$O22-'CBA Inputs'!$O22/'CBA Inputs'!$S22*(AI$58-'CBA Inputs'!$R22+1),0),0)*IF(AI$58=FirstYear+AnalysisPeriod-1,1,0),0)*CapitalCost_ACTIVE*AI$55*IF(Scenario_Select='CBA Inputs'!$T22,1,0)</f>
        <v>0</v>
      </c>
      <c r="BU98" s="17">
        <f>IFERROR(IF(AJ$58&gt;='CBA Inputs'!$R22,MAX('CBA Inputs'!$O22-'CBA Inputs'!$O22/'CBA Inputs'!$S22*(AJ$58-'CBA Inputs'!$R22+1),0),0)*IF(AJ$58=FirstYear+AnalysisPeriod-1,1,0),0)*CapitalCost_ACTIVE*AJ$55*IF(Scenario_Select='CBA Inputs'!$T22,1,0)</f>
        <v>0</v>
      </c>
    </row>
    <row r="99" spans="1:73" x14ac:dyDescent="0.35">
      <c r="B99" s="9">
        <f t="shared" si="30"/>
        <v>2</v>
      </c>
      <c r="C99" s="26" t="str">
        <f t="shared" si="30"/>
        <v>Option 1B</v>
      </c>
      <c r="D99" s="26" t="str">
        <f t="shared" si="33"/>
        <v>Substation</v>
      </c>
      <c r="E99" s="12" t="s">
        <v>35</v>
      </c>
      <c r="F99" s="18">
        <f t="shared" si="34"/>
        <v>12691490.517109388</v>
      </c>
      <c r="G99" s="17">
        <f>IFERROR(IF(G$58&gt;='CBA Inputs'!$H23,MAX('CBA Inputs'!$E23-'CBA Inputs'!$E23/'CBA Inputs'!$I23*(G$58-'CBA Inputs'!$H23+1),0),0)*IF(G$58=FirstYear+AnalysisPeriod-1,1,0),0)*CapitalCost_ACTIVE*G$55</f>
        <v>0</v>
      </c>
      <c r="H99" s="17">
        <f>IFERROR(IF(H$58&gt;='CBA Inputs'!$H23,MAX('CBA Inputs'!$E23-'CBA Inputs'!$E23/'CBA Inputs'!$I23*(H$58-'CBA Inputs'!$H23+1),0),0)*IF(H$58=FirstYear+AnalysisPeriod-1,1,0),0)*CapitalCost_ACTIVE*H$55</f>
        <v>0</v>
      </c>
      <c r="I99" s="17">
        <f>IFERROR(IF(I$58&gt;='CBA Inputs'!$H23,MAX('CBA Inputs'!$E23-'CBA Inputs'!$E23/'CBA Inputs'!$I23*(I$58-'CBA Inputs'!$H23+1),0),0)*IF(I$58=FirstYear+AnalysisPeriod-1,1,0),0)*CapitalCost_ACTIVE*I$55</f>
        <v>0</v>
      </c>
      <c r="J99" s="17">
        <f>IFERROR(IF(J$58&gt;='CBA Inputs'!$H23,MAX('CBA Inputs'!$E23-'CBA Inputs'!$E23/'CBA Inputs'!$I23*(J$58-'CBA Inputs'!$H23+1),0),0)*IF(J$58=FirstYear+AnalysisPeriod-1,1,0),0)*CapitalCost_ACTIVE*J$55</f>
        <v>0</v>
      </c>
      <c r="K99" s="17">
        <f>IFERROR(IF(K$58&gt;='CBA Inputs'!$H23,MAX('CBA Inputs'!$E23-'CBA Inputs'!$E23/'CBA Inputs'!$I23*(K$58-'CBA Inputs'!$H23+1),0),0)*IF(K$58=FirstYear+AnalysisPeriod-1,1,0),0)*CapitalCost_ACTIVE*K$55</f>
        <v>0</v>
      </c>
      <c r="L99" s="17">
        <f>IFERROR(IF(L$58&gt;='CBA Inputs'!$H23,MAX('CBA Inputs'!$E23-'CBA Inputs'!$E23/'CBA Inputs'!$I23*(L$58-'CBA Inputs'!$H23+1),0),0)*IF(L$58=FirstYear+AnalysisPeriod-1,1,0),0)*CapitalCost_ACTIVE*L$55</f>
        <v>0</v>
      </c>
      <c r="M99" s="17">
        <f>IFERROR(IF(M$58&gt;='CBA Inputs'!$H23,MAX('CBA Inputs'!$E23-'CBA Inputs'!$E23/'CBA Inputs'!$I23*(M$58-'CBA Inputs'!$H23+1),0),0)*IF(M$58=FirstYear+AnalysisPeriod-1,1,0),0)*CapitalCost_ACTIVE*M$55</f>
        <v>0</v>
      </c>
      <c r="N99" s="17">
        <f>IFERROR(IF(N$58&gt;='CBA Inputs'!$H23,MAX('CBA Inputs'!$E23-'CBA Inputs'!$E23/'CBA Inputs'!$I23*(N$58-'CBA Inputs'!$H23+1),0),0)*IF(N$58=FirstYear+AnalysisPeriod-1,1,0),0)*CapitalCost_ACTIVE*N$55</f>
        <v>0</v>
      </c>
      <c r="O99" s="17">
        <f>IFERROR(IF(O$58&gt;='CBA Inputs'!$H23,MAX('CBA Inputs'!$E23-'CBA Inputs'!$E23/'CBA Inputs'!$I23*(O$58-'CBA Inputs'!$H23+1),0),0)*IF(O$58=FirstYear+AnalysisPeriod-1,1,0),0)*CapitalCost_ACTIVE*O$55</f>
        <v>0</v>
      </c>
      <c r="P99" s="17">
        <f>IFERROR(IF(P$58&gt;='CBA Inputs'!$H23,MAX('CBA Inputs'!$E23-'CBA Inputs'!$E23/'CBA Inputs'!$I23*(P$58-'CBA Inputs'!$H23+1),0),0)*IF(P$58=FirstYear+AnalysisPeriod-1,1,0),0)*CapitalCost_ACTIVE*P$55</f>
        <v>0</v>
      </c>
      <c r="Q99" s="17">
        <f>IFERROR(IF(Q$58&gt;='CBA Inputs'!$H23,MAX('CBA Inputs'!$E23-'CBA Inputs'!$E23/'CBA Inputs'!$I23*(Q$58-'CBA Inputs'!$H23+1),0),0)*IF(Q$58=FirstYear+AnalysisPeriod-1,1,0),0)*CapitalCost_ACTIVE*Q$55</f>
        <v>0</v>
      </c>
      <c r="R99" s="17">
        <f>IFERROR(IF(R$58&gt;='CBA Inputs'!$H23,MAX('CBA Inputs'!$E23-'CBA Inputs'!$E23/'CBA Inputs'!$I23*(R$58-'CBA Inputs'!$H23+1),0),0)*IF(R$58=FirstYear+AnalysisPeriod-1,1,0),0)*CapitalCost_ACTIVE*R$55</f>
        <v>0</v>
      </c>
      <c r="S99" s="17">
        <f>IFERROR(IF(S$58&gt;='CBA Inputs'!$H23,MAX('CBA Inputs'!$E23-'CBA Inputs'!$E23/'CBA Inputs'!$I23*(S$58-'CBA Inputs'!$H23+1),0),0)*IF(S$58=FirstYear+AnalysisPeriod-1,1,0),0)*CapitalCost_ACTIVE*S$55</f>
        <v>0</v>
      </c>
      <c r="T99" s="17">
        <f>IFERROR(IF(T$58&gt;='CBA Inputs'!$H23,MAX('CBA Inputs'!$E23-'CBA Inputs'!$E23/'CBA Inputs'!$I23*(T$58-'CBA Inputs'!$H23+1),0),0)*IF(T$58=FirstYear+AnalysisPeriod-1,1,0),0)*CapitalCost_ACTIVE*T$55</f>
        <v>0</v>
      </c>
      <c r="U99" s="17">
        <f>IFERROR(IF(U$58&gt;='CBA Inputs'!$H23,MAX('CBA Inputs'!$E23-'CBA Inputs'!$E23/'CBA Inputs'!$I23*(U$58-'CBA Inputs'!$H23+1),0),0)*IF(U$58=FirstYear+AnalysisPeriod-1,1,0),0)*CapitalCost_ACTIVE*U$55</f>
        <v>0</v>
      </c>
      <c r="V99" s="17">
        <f>IFERROR(IF(V$58&gt;='CBA Inputs'!$H23,MAX('CBA Inputs'!$E23-'CBA Inputs'!$E23/'CBA Inputs'!$I23*(V$58-'CBA Inputs'!$H23+1),0),0)*IF(V$58=FirstYear+AnalysisPeriod-1,1,0),0)*CapitalCost_ACTIVE*V$55</f>
        <v>0</v>
      </c>
      <c r="W99" s="17">
        <f>IFERROR(IF(W$58&gt;='CBA Inputs'!$H23,MAX('CBA Inputs'!$E23-'CBA Inputs'!$E23/'CBA Inputs'!$I23*(W$58-'CBA Inputs'!$H23+1),0),0)*IF(W$58=FirstYear+AnalysisPeriod-1,1,0),0)*CapitalCost_ACTIVE*W$55</f>
        <v>0</v>
      </c>
      <c r="X99" s="17">
        <f>IFERROR(IF(X$58&gt;='CBA Inputs'!$H23,MAX('CBA Inputs'!$E23-'CBA Inputs'!$E23/'CBA Inputs'!$I23*(X$58-'CBA Inputs'!$H23+1),0),0)*IF(X$58=FirstYear+AnalysisPeriod-1,1,0),0)*CapitalCost_ACTIVE*X$55</f>
        <v>0</v>
      </c>
      <c r="Y99" s="17">
        <f>IFERROR(IF(Y$58&gt;='CBA Inputs'!$H23,MAX('CBA Inputs'!$E23-'CBA Inputs'!$E23/'CBA Inputs'!$I23*(Y$58-'CBA Inputs'!$H23+1),0),0)*IF(Y$58=FirstYear+AnalysisPeriod-1,1,0),0)*CapitalCost_ACTIVE*Y$55</f>
        <v>0</v>
      </c>
      <c r="Z99" s="17">
        <f>IFERROR(IF(Z$58&gt;='CBA Inputs'!$H23,MAX('CBA Inputs'!$E23-'CBA Inputs'!$E23/'CBA Inputs'!$I23*(Z$58-'CBA Inputs'!$H23+1),0),0)*IF(Z$58=FirstYear+AnalysisPeriod-1,1,0),0)*CapitalCost_ACTIVE*Z$55</f>
        <v>0</v>
      </c>
      <c r="AA99" s="17">
        <f>IFERROR(IF(AA$58&gt;='CBA Inputs'!$H23,MAX('CBA Inputs'!$E23-'CBA Inputs'!$E23/'CBA Inputs'!$I23*(AA$58-'CBA Inputs'!$H23+1),0),0)*IF(AA$58=FirstYear+AnalysisPeriod-1,1,0),0)*CapitalCost_ACTIVE*AA$55</f>
        <v>0</v>
      </c>
      <c r="AB99" s="17">
        <f>IFERROR(IF(AB$58&gt;='CBA Inputs'!$H23,MAX('CBA Inputs'!$E23-'CBA Inputs'!$E23/'CBA Inputs'!$I23*(AB$58-'CBA Inputs'!$H23+1),0),0)*IF(AB$58=FirstYear+AnalysisPeriod-1,1,0),0)*CapitalCost_ACTIVE*AB$55</f>
        <v>0</v>
      </c>
      <c r="AC99" s="17">
        <f>IFERROR(IF(AC$58&gt;='CBA Inputs'!$H23,MAX('CBA Inputs'!$E23-'CBA Inputs'!$E23/'CBA Inputs'!$I23*(AC$58-'CBA Inputs'!$H23+1),0),0)*IF(AC$58=FirstYear+AnalysisPeriod-1,1,0),0)*CapitalCost_ACTIVE*AC$55</f>
        <v>0</v>
      </c>
      <c r="AD99" s="17">
        <f>IFERROR(IF(AD$58&gt;='CBA Inputs'!$H23,MAX('CBA Inputs'!$E23-'CBA Inputs'!$E23/'CBA Inputs'!$I23*(AD$58-'CBA Inputs'!$H23+1),0),0)*IF(AD$58=FirstYear+AnalysisPeriod-1,1,0),0)*CapitalCost_ACTIVE*AD$55</f>
        <v>0</v>
      </c>
      <c r="AE99" s="17">
        <f>IFERROR(IF(AE$58&gt;='CBA Inputs'!$H23,MAX('CBA Inputs'!$E23-'CBA Inputs'!$E23/'CBA Inputs'!$I23*(AE$58-'CBA Inputs'!$H23+1),0),0)*IF(AE$58=FirstYear+AnalysisPeriod-1,1,0),0)*CapitalCost_ACTIVE*AE$55</f>
        <v>0</v>
      </c>
      <c r="AF99" s="17">
        <f>IFERROR(IF(AF$58&gt;='CBA Inputs'!$H23,MAX('CBA Inputs'!$E23-'CBA Inputs'!$E23/'CBA Inputs'!$I23*(AF$58-'CBA Inputs'!$H23+1),0),0)*IF(AF$58=FirstYear+AnalysisPeriod-1,1,0),0)*CapitalCost_ACTIVE*AF$55</f>
        <v>53200000</v>
      </c>
      <c r="AG99" s="17">
        <f>IFERROR(IF(AG$58&gt;='CBA Inputs'!$H23,MAX('CBA Inputs'!$E23-'CBA Inputs'!$E23/'CBA Inputs'!$I23*(AG$58-'CBA Inputs'!$H23+1),0),0)*IF(AG$58=FirstYear+AnalysisPeriod-1,1,0),0)*CapitalCost_ACTIVE*AG$55</f>
        <v>0</v>
      </c>
      <c r="AH99" s="17">
        <f>IFERROR(IF(AH$58&gt;='CBA Inputs'!$H23,MAX('CBA Inputs'!$E23-'CBA Inputs'!$E23/'CBA Inputs'!$I23*(AH$58-'CBA Inputs'!$H23+1),0),0)*IF(AH$58=FirstYear+AnalysisPeriod-1,1,0),0)*CapitalCost_ACTIVE*AH$55</f>
        <v>0</v>
      </c>
      <c r="AI99" s="17">
        <f>IFERROR(IF(AI$58&gt;='CBA Inputs'!$H23,MAX('CBA Inputs'!$E23-'CBA Inputs'!$E23/'CBA Inputs'!$I23*(AI$58-'CBA Inputs'!$H23+1),0),0)*IF(AI$58=FirstYear+AnalysisPeriod-1,1,0),0)*CapitalCost_ACTIVE*AI$55</f>
        <v>0</v>
      </c>
      <c r="AJ99" s="17">
        <f>IFERROR(IF(AJ$58&gt;='CBA Inputs'!$H23,MAX('CBA Inputs'!$E23-'CBA Inputs'!$E23/'CBA Inputs'!$I23*(AJ$58-'CBA Inputs'!$H23+1),0),0)*IF(AJ$58=FirstYear+AnalysisPeriod-1,1,0),0)*CapitalCost_ACTIVE*AJ$55</f>
        <v>0</v>
      </c>
      <c r="AM99" s="9">
        <f t="shared" si="35"/>
        <v>2</v>
      </c>
      <c r="AN99" s="26" t="str">
        <f t="shared" si="35"/>
        <v>Option 1B</v>
      </c>
      <c r="AO99" s="26" t="str">
        <f t="shared" si="35"/>
        <v>Substation</v>
      </c>
      <c r="AP99" s="12" t="s">
        <v>35</v>
      </c>
      <c r="AQ99" s="18">
        <f t="shared" si="36"/>
        <v>0</v>
      </c>
      <c r="AR99" s="17">
        <f>IFERROR(IF(G$58&gt;='CBA Inputs'!$R23,MAX('CBA Inputs'!$O23-'CBA Inputs'!$O23/'CBA Inputs'!$S23*(G$58-'CBA Inputs'!$R23+1),0),0)*IF(G$58=FirstYear+AnalysisPeriod-1,1,0),0)*CapitalCost_ACTIVE*G$55*IF(Scenario_Select='CBA Inputs'!$T23,1,0)</f>
        <v>0</v>
      </c>
      <c r="AS99" s="17">
        <f>IFERROR(IF(H$58&gt;='CBA Inputs'!$R23,MAX('CBA Inputs'!$O23-'CBA Inputs'!$O23/'CBA Inputs'!$S23*(H$58-'CBA Inputs'!$R23+1),0),0)*IF(H$58=FirstYear+AnalysisPeriod-1,1,0),0)*CapitalCost_ACTIVE*H$55*IF(Scenario_Select='CBA Inputs'!$T23,1,0)</f>
        <v>0</v>
      </c>
      <c r="AT99" s="17">
        <f>IFERROR(IF(I$58&gt;='CBA Inputs'!$R23,MAX('CBA Inputs'!$O23-'CBA Inputs'!$O23/'CBA Inputs'!$S23*(I$58-'CBA Inputs'!$R23+1),0),0)*IF(I$58=FirstYear+AnalysisPeriod-1,1,0),0)*CapitalCost_ACTIVE*I$55*IF(Scenario_Select='CBA Inputs'!$T23,1,0)</f>
        <v>0</v>
      </c>
      <c r="AU99" s="17">
        <f>IFERROR(IF(J$58&gt;='CBA Inputs'!$R23,MAX('CBA Inputs'!$O23-'CBA Inputs'!$O23/'CBA Inputs'!$S23*(J$58-'CBA Inputs'!$R23+1),0),0)*IF(J$58=FirstYear+AnalysisPeriod-1,1,0),0)*CapitalCost_ACTIVE*J$55*IF(Scenario_Select='CBA Inputs'!$T23,1,0)</f>
        <v>0</v>
      </c>
      <c r="AV99" s="17">
        <f>IFERROR(IF(K$58&gt;='CBA Inputs'!$R23,MAX('CBA Inputs'!$O23-'CBA Inputs'!$O23/'CBA Inputs'!$S23*(K$58-'CBA Inputs'!$R23+1),0),0)*IF(K$58=FirstYear+AnalysisPeriod-1,1,0),0)*CapitalCost_ACTIVE*K$55*IF(Scenario_Select='CBA Inputs'!$T23,1,0)</f>
        <v>0</v>
      </c>
      <c r="AW99" s="17">
        <f>IFERROR(IF(L$58&gt;='CBA Inputs'!$R23,MAX('CBA Inputs'!$O23-'CBA Inputs'!$O23/'CBA Inputs'!$S23*(L$58-'CBA Inputs'!$R23+1),0),0)*IF(L$58=FirstYear+AnalysisPeriod-1,1,0),0)*CapitalCost_ACTIVE*L$55*IF(Scenario_Select='CBA Inputs'!$T23,1,0)</f>
        <v>0</v>
      </c>
      <c r="AX99" s="17">
        <f>IFERROR(IF(M$58&gt;='CBA Inputs'!$R23,MAX('CBA Inputs'!$O23-'CBA Inputs'!$O23/'CBA Inputs'!$S23*(M$58-'CBA Inputs'!$R23+1),0),0)*IF(M$58=FirstYear+AnalysisPeriod-1,1,0),0)*CapitalCost_ACTIVE*M$55*IF(Scenario_Select='CBA Inputs'!$T23,1,0)</f>
        <v>0</v>
      </c>
      <c r="AY99" s="17">
        <f>IFERROR(IF(N$58&gt;='CBA Inputs'!$R23,MAX('CBA Inputs'!$O23-'CBA Inputs'!$O23/'CBA Inputs'!$S23*(N$58-'CBA Inputs'!$R23+1),0),0)*IF(N$58=FirstYear+AnalysisPeriod-1,1,0),0)*CapitalCost_ACTIVE*N$55*IF(Scenario_Select='CBA Inputs'!$T23,1,0)</f>
        <v>0</v>
      </c>
      <c r="AZ99" s="17">
        <f>IFERROR(IF(O$58&gt;='CBA Inputs'!$R23,MAX('CBA Inputs'!$O23-'CBA Inputs'!$O23/'CBA Inputs'!$S23*(O$58-'CBA Inputs'!$R23+1),0),0)*IF(O$58=FirstYear+AnalysisPeriod-1,1,0),0)*CapitalCost_ACTIVE*O$55*IF(Scenario_Select='CBA Inputs'!$T23,1,0)</f>
        <v>0</v>
      </c>
      <c r="BA99" s="17">
        <f>IFERROR(IF(P$58&gt;='CBA Inputs'!$R23,MAX('CBA Inputs'!$O23-'CBA Inputs'!$O23/'CBA Inputs'!$S23*(P$58-'CBA Inputs'!$R23+1),0),0)*IF(P$58=FirstYear+AnalysisPeriod-1,1,0),0)*CapitalCost_ACTIVE*P$55*IF(Scenario_Select='CBA Inputs'!$T23,1,0)</f>
        <v>0</v>
      </c>
      <c r="BB99" s="17">
        <f>IFERROR(IF(Q$58&gt;='CBA Inputs'!$R23,MAX('CBA Inputs'!$O23-'CBA Inputs'!$O23/'CBA Inputs'!$S23*(Q$58-'CBA Inputs'!$R23+1),0),0)*IF(Q$58=FirstYear+AnalysisPeriod-1,1,0),0)*CapitalCost_ACTIVE*Q$55*IF(Scenario_Select='CBA Inputs'!$T23,1,0)</f>
        <v>0</v>
      </c>
      <c r="BC99" s="17">
        <f>IFERROR(IF(R$58&gt;='CBA Inputs'!$R23,MAX('CBA Inputs'!$O23-'CBA Inputs'!$O23/'CBA Inputs'!$S23*(R$58-'CBA Inputs'!$R23+1),0),0)*IF(R$58=FirstYear+AnalysisPeriod-1,1,0),0)*CapitalCost_ACTIVE*R$55*IF(Scenario_Select='CBA Inputs'!$T23,1,0)</f>
        <v>0</v>
      </c>
      <c r="BD99" s="17">
        <f>IFERROR(IF(S$58&gt;='CBA Inputs'!$R23,MAX('CBA Inputs'!$O23-'CBA Inputs'!$O23/'CBA Inputs'!$S23*(S$58-'CBA Inputs'!$R23+1),0),0)*IF(S$58=FirstYear+AnalysisPeriod-1,1,0),0)*CapitalCost_ACTIVE*S$55*IF(Scenario_Select='CBA Inputs'!$T23,1,0)</f>
        <v>0</v>
      </c>
      <c r="BE99" s="17">
        <f>IFERROR(IF(T$58&gt;='CBA Inputs'!$R23,MAX('CBA Inputs'!$O23-'CBA Inputs'!$O23/'CBA Inputs'!$S23*(T$58-'CBA Inputs'!$R23+1),0),0)*IF(T$58=FirstYear+AnalysisPeriod-1,1,0),0)*CapitalCost_ACTIVE*T$55*IF(Scenario_Select='CBA Inputs'!$T23,1,0)</f>
        <v>0</v>
      </c>
      <c r="BF99" s="17">
        <f>IFERROR(IF(U$58&gt;='CBA Inputs'!$R23,MAX('CBA Inputs'!$O23-'CBA Inputs'!$O23/'CBA Inputs'!$S23*(U$58-'CBA Inputs'!$R23+1),0),0)*IF(U$58=FirstYear+AnalysisPeriod-1,1,0),0)*CapitalCost_ACTIVE*U$55*IF(Scenario_Select='CBA Inputs'!$T23,1,0)</f>
        <v>0</v>
      </c>
      <c r="BG99" s="17">
        <f>IFERROR(IF(V$58&gt;='CBA Inputs'!$R23,MAX('CBA Inputs'!$O23-'CBA Inputs'!$O23/'CBA Inputs'!$S23*(V$58-'CBA Inputs'!$R23+1),0),0)*IF(V$58=FirstYear+AnalysisPeriod-1,1,0),0)*CapitalCost_ACTIVE*V$55*IF(Scenario_Select='CBA Inputs'!$T23,1,0)</f>
        <v>0</v>
      </c>
      <c r="BH99" s="17">
        <f>IFERROR(IF(W$58&gt;='CBA Inputs'!$R23,MAX('CBA Inputs'!$O23-'CBA Inputs'!$O23/'CBA Inputs'!$S23*(W$58-'CBA Inputs'!$R23+1),0),0)*IF(W$58=FirstYear+AnalysisPeriod-1,1,0),0)*CapitalCost_ACTIVE*W$55*IF(Scenario_Select='CBA Inputs'!$T23,1,0)</f>
        <v>0</v>
      </c>
      <c r="BI99" s="17">
        <f>IFERROR(IF(X$58&gt;='CBA Inputs'!$R23,MAX('CBA Inputs'!$O23-'CBA Inputs'!$O23/'CBA Inputs'!$S23*(X$58-'CBA Inputs'!$R23+1),0),0)*IF(X$58=FirstYear+AnalysisPeriod-1,1,0),0)*CapitalCost_ACTIVE*X$55*IF(Scenario_Select='CBA Inputs'!$T23,1,0)</f>
        <v>0</v>
      </c>
      <c r="BJ99" s="17">
        <f>IFERROR(IF(Y$58&gt;='CBA Inputs'!$R23,MAX('CBA Inputs'!$O23-'CBA Inputs'!$O23/'CBA Inputs'!$S23*(Y$58-'CBA Inputs'!$R23+1),0),0)*IF(Y$58=FirstYear+AnalysisPeriod-1,1,0),0)*CapitalCost_ACTIVE*Y$55*IF(Scenario_Select='CBA Inputs'!$T23,1,0)</f>
        <v>0</v>
      </c>
      <c r="BK99" s="17">
        <f>IFERROR(IF(Z$58&gt;='CBA Inputs'!$R23,MAX('CBA Inputs'!$O23-'CBA Inputs'!$O23/'CBA Inputs'!$S23*(Z$58-'CBA Inputs'!$R23+1),0),0)*IF(Z$58=FirstYear+AnalysisPeriod-1,1,0),0)*CapitalCost_ACTIVE*Z$55*IF(Scenario_Select='CBA Inputs'!$T23,1,0)</f>
        <v>0</v>
      </c>
      <c r="BL99" s="17">
        <f>IFERROR(IF(AA$58&gt;='CBA Inputs'!$R23,MAX('CBA Inputs'!$O23-'CBA Inputs'!$O23/'CBA Inputs'!$S23*(AA$58-'CBA Inputs'!$R23+1),0),0)*IF(AA$58=FirstYear+AnalysisPeriod-1,1,0),0)*CapitalCost_ACTIVE*AA$55*IF(Scenario_Select='CBA Inputs'!$T23,1,0)</f>
        <v>0</v>
      </c>
      <c r="BM99" s="17">
        <f>IFERROR(IF(AB$58&gt;='CBA Inputs'!$R23,MAX('CBA Inputs'!$O23-'CBA Inputs'!$O23/'CBA Inputs'!$S23*(AB$58-'CBA Inputs'!$R23+1),0),0)*IF(AB$58=FirstYear+AnalysisPeriod-1,1,0),0)*CapitalCost_ACTIVE*AB$55*IF(Scenario_Select='CBA Inputs'!$T23,1,0)</f>
        <v>0</v>
      </c>
      <c r="BN99" s="17">
        <f>IFERROR(IF(AC$58&gt;='CBA Inputs'!$R23,MAX('CBA Inputs'!$O23-'CBA Inputs'!$O23/'CBA Inputs'!$S23*(AC$58-'CBA Inputs'!$R23+1),0),0)*IF(AC$58=FirstYear+AnalysisPeriod-1,1,0),0)*CapitalCost_ACTIVE*AC$55*IF(Scenario_Select='CBA Inputs'!$T23,1,0)</f>
        <v>0</v>
      </c>
      <c r="BO99" s="17">
        <f>IFERROR(IF(AD$58&gt;='CBA Inputs'!$R23,MAX('CBA Inputs'!$O23-'CBA Inputs'!$O23/'CBA Inputs'!$S23*(AD$58-'CBA Inputs'!$R23+1),0),0)*IF(AD$58=FirstYear+AnalysisPeriod-1,1,0),0)*CapitalCost_ACTIVE*AD$55*IF(Scenario_Select='CBA Inputs'!$T23,1,0)</f>
        <v>0</v>
      </c>
      <c r="BP99" s="17">
        <f>IFERROR(IF(AE$58&gt;='CBA Inputs'!$R23,MAX('CBA Inputs'!$O23-'CBA Inputs'!$O23/'CBA Inputs'!$S23*(AE$58-'CBA Inputs'!$R23+1),0),0)*IF(AE$58=FirstYear+AnalysisPeriod-1,1,0),0)*CapitalCost_ACTIVE*AE$55*IF(Scenario_Select='CBA Inputs'!$T23,1,0)</f>
        <v>0</v>
      </c>
      <c r="BQ99" s="17">
        <f>IFERROR(IF(AF$58&gt;='CBA Inputs'!$R23,MAX('CBA Inputs'!$O23-'CBA Inputs'!$O23/'CBA Inputs'!$S23*(AF$58-'CBA Inputs'!$R23+1),0),0)*IF(AF$58=FirstYear+AnalysisPeriod-1,1,0),0)*CapitalCost_ACTIVE*AF$55*IF(Scenario_Select='CBA Inputs'!$T23,1,0)</f>
        <v>0</v>
      </c>
      <c r="BR99" s="17">
        <f>IFERROR(IF(AG$58&gt;='CBA Inputs'!$R23,MAX('CBA Inputs'!$O23-'CBA Inputs'!$O23/'CBA Inputs'!$S23*(AG$58-'CBA Inputs'!$R23+1),0),0)*IF(AG$58=FirstYear+AnalysisPeriod-1,1,0),0)*CapitalCost_ACTIVE*AG$55*IF(Scenario_Select='CBA Inputs'!$T23,1,0)</f>
        <v>0</v>
      </c>
      <c r="BS99" s="17">
        <f>IFERROR(IF(AH$58&gt;='CBA Inputs'!$R23,MAX('CBA Inputs'!$O23-'CBA Inputs'!$O23/'CBA Inputs'!$S23*(AH$58-'CBA Inputs'!$R23+1),0),0)*IF(AH$58=FirstYear+AnalysisPeriod-1,1,0),0)*CapitalCost_ACTIVE*AH$55*IF(Scenario_Select='CBA Inputs'!$T23,1,0)</f>
        <v>0</v>
      </c>
      <c r="BT99" s="17">
        <f>IFERROR(IF(AI$58&gt;='CBA Inputs'!$R23,MAX('CBA Inputs'!$O23-'CBA Inputs'!$O23/'CBA Inputs'!$S23*(AI$58-'CBA Inputs'!$R23+1),0),0)*IF(AI$58=FirstYear+AnalysisPeriod-1,1,0),0)*CapitalCost_ACTIVE*AI$55*IF(Scenario_Select='CBA Inputs'!$T23,1,0)</f>
        <v>0</v>
      </c>
      <c r="BU99" s="17">
        <f>IFERROR(IF(AJ$58&gt;='CBA Inputs'!$R23,MAX('CBA Inputs'!$O23-'CBA Inputs'!$O23/'CBA Inputs'!$S23*(AJ$58-'CBA Inputs'!$R23+1),0),0)*IF(AJ$58=FirstYear+AnalysisPeriod-1,1,0),0)*CapitalCost_ACTIVE*AJ$55*IF(Scenario_Select='CBA Inputs'!$T23,1,0)</f>
        <v>0</v>
      </c>
    </row>
    <row r="100" spans="1:73" x14ac:dyDescent="0.35">
      <c r="B100" s="9">
        <f t="shared" si="30"/>
        <v>3</v>
      </c>
      <c r="C100" s="26" t="str">
        <f t="shared" si="30"/>
        <v>Option 1C</v>
      </c>
      <c r="D100" s="26" t="str">
        <f t="shared" si="33"/>
        <v xml:space="preserve">Lines </v>
      </c>
      <c r="E100" s="12" t="s">
        <v>35</v>
      </c>
      <c r="F100" s="18">
        <f t="shared" si="34"/>
        <v>116919163.57961111</v>
      </c>
      <c r="G100" s="17">
        <f>IFERROR(IF(G$58&gt;='CBA Inputs'!$H24,MAX('CBA Inputs'!$E24-'CBA Inputs'!$E24/'CBA Inputs'!$I24*(G$58-'CBA Inputs'!$H24+1),0),0)*IF(G$58=FirstYear+AnalysisPeriod-1,1,0),0)*CapitalCost_ACTIVE*G$55</f>
        <v>0</v>
      </c>
      <c r="H100" s="17">
        <f>IFERROR(IF(H$58&gt;='CBA Inputs'!$H24,MAX('CBA Inputs'!$E24-'CBA Inputs'!$E24/'CBA Inputs'!$I24*(H$58-'CBA Inputs'!$H24+1),0),0)*IF(H$58=FirstYear+AnalysisPeriod-1,1,0),0)*CapitalCost_ACTIVE*H$55</f>
        <v>0</v>
      </c>
      <c r="I100" s="17">
        <f>IFERROR(IF(I$58&gt;='CBA Inputs'!$H24,MAX('CBA Inputs'!$E24-'CBA Inputs'!$E24/'CBA Inputs'!$I24*(I$58-'CBA Inputs'!$H24+1),0),0)*IF(I$58=FirstYear+AnalysisPeriod-1,1,0),0)*CapitalCost_ACTIVE*I$55</f>
        <v>0</v>
      </c>
      <c r="J100" s="17">
        <f>IFERROR(IF(J$58&gt;='CBA Inputs'!$H24,MAX('CBA Inputs'!$E24-'CBA Inputs'!$E24/'CBA Inputs'!$I24*(J$58-'CBA Inputs'!$H24+1),0),0)*IF(J$58=FirstYear+AnalysisPeriod-1,1,0),0)*CapitalCost_ACTIVE*J$55</f>
        <v>0</v>
      </c>
      <c r="K100" s="17">
        <f>IFERROR(IF(K$58&gt;='CBA Inputs'!$H24,MAX('CBA Inputs'!$E24-'CBA Inputs'!$E24/'CBA Inputs'!$I24*(K$58-'CBA Inputs'!$H24+1),0),0)*IF(K$58=FirstYear+AnalysisPeriod-1,1,0),0)*CapitalCost_ACTIVE*K$55</f>
        <v>0</v>
      </c>
      <c r="L100" s="17">
        <f>IFERROR(IF(L$58&gt;='CBA Inputs'!$H24,MAX('CBA Inputs'!$E24-'CBA Inputs'!$E24/'CBA Inputs'!$I24*(L$58-'CBA Inputs'!$H24+1),0),0)*IF(L$58=FirstYear+AnalysisPeriod-1,1,0),0)*CapitalCost_ACTIVE*L$55</f>
        <v>0</v>
      </c>
      <c r="M100" s="17">
        <f>IFERROR(IF(M$58&gt;='CBA Inputs'!$H24,MAX('CBA Inputs'!$E24-'CBA Inputs'!$E24/'CBA Inputs'!$I24*(M$58-'CBA Inputs'!$H24+1),0),0)*IF(M$58=FirstYear+AnalysisPeriod-1,1,0),0)*CapitalCost_ACTIVE*M$55</f>
        <v>0</v>
      </c>
      <c r="N100" s="17">
        <f>IFERROR(IF(N$58&gt;='CBA Inputs'!$H24,MAX('CBA Inputs'!$E24-'CBA Inputs'!$E24/'CBA Inputs'!$I24*(N$58-'CBA Inputs'!$H24+1),0),0)*IF(N$58=FirstYear+AnalysisPeriod-1,1,0),0)*CapitalCost_ACTIVE*N$55</f>
        <v>0</v>
      </c>
      <c r="O100" s="17">
        <f>IFERROR(IF(O$58&gt;='CBA Inputs'!$H24,MAX('CBA Inputs'!$E24-'CBA Inputs'!$E24/'CBA Inputs'!$I24*(O$58-'CBA Inputs'!$H24+1),0),0)*IF(O$58=FirstYear+AnalysisPeriod-1,1,0),0)*CapitalCost_ACTIVE*O$55</f>
        <v>0</v>
      </c>
      <c r="P100" s="17">
        <f>IFERROR(IF(P$58&gt;='CBA Inputs'!$H24,MAX('CBA Inputs'!$E24-'CBA Inputs'!$E24/'CBA Inputs'!$I24*(P$58-'CBA Inputs'!$H24+1),0),0)*IF(P$58=FirstYear+AnalysisPeriod-1,1,0),0)*CapitalCost_ACTIVE*P$55</f>
        <v>0</v>
      </c>
      <c r="Q100" s="17">
        <f>IFERROR(IF(Q$58&gt;='CBA Inputs'!$H24,MAX('CBA Inputs'!$E24-'CBA Inputs'!$E24/'CBA Inputs'!$I24*(Q$58-'CBA Inputs'!$H24+1),0),0)*IF(Q$58=FirstYear+AnalysisPeriod-1,1,0),0)*CapitalCost_ACTIVE*Q$55</f>
        <v>0</v>
      </c>
      <c r="R100" s="17">
        <f>IFERROR(IF(R$58&gt;='CBA Inputs'!$H24,MAX('CBA Inputs'!$E24-'CBA Inputs'!$E24/'CBA Inputs'!$I24*(R$58-'CBA Inputs'!$H24+1),0),0)*IF(R$58=FirstYear+AnalysisPeriod-1,1,0),0)*CapitalCost_ACTIVE*R$55</f>
        <v>0</v>
      </c>
      <c r="S100" s="17">
        <f>IFERROR(IF(S$58&gt;='CBA Inputs'!$H24,MAX('CBA Inputs'!$E24-'CBA Inputs'!$E24/'CBA Inputs'!$I24*(S$58-'CBA Inputs'!$H24+1),0),0)*IF(S$58=FirstYear+AnalysisPeriod-1,1,0),0)*CapitalCost_ACTIVE*S$55</f>
        <v>0</v>
      </c>
      <c r="T100" s="17">
        <f>IFERROR(IF(T$58&gt;='CBA Inputs'!$H24,MAX('CBA Inputs'!$E24-'CBA Inputs'!$E24/'CBA Inputs'!$I24*(T$58-'CBA Inputs'!$H24+1),0),0)*IF(T$58=FirstYear+AnalysisPeriod-1,1,0),0)*CapitalCost_ACTIVE*T$55</f>
        <v>0</v>
      </c>
      <c r="U100" s="17">
        <f>IFERROR(IF(U$58&gt;='CBA Inputs'!$H24,MAX('CBA Inputs'!$E24-'CBA Inputs'!$E24/'CBA Inputs'!$I24*(U$58-'CBA Inputs'!$H24+1),0),0)*IF(U$58=FirstYear+AnalysisPeriod-1,1,0),0)*CapitalCost_ACTIVE*U$55</f>
        <v>0</v>
      </c>
      <c r="V100" s="17">
        <f>IFERROR(IF(V$58&gt;='CBA Inputs'!$H24,MAX('CBA Inputs'!$E24-'CBA Inputs'!$E24/'CBA Inputs'!$I24*(V$58-'CBA Inputs'!$H24+1),0),0)*IF(V$58=FirstYear+AnalysisPeriod-1,1,0),0)*CapitalCost_ACTIVE*V$55</f>
        <v>0</v>
      </c>
      <c r="W100" s="17">
        <f>IFERROR(IF(W$58&gt;='CBA Inputs'!$H24,MAX('CBA Inputs'!$E24-'CBA Inputs'!$E24/'CBA Inputs'!$I24*(W$58-'CBA Inputs'!$H24+1),0),0)*IF(W$58=FirstYear+AnalysisPeriod-1,1,0),0)*CapitalCost_ACTIVE*W$55</f>
        <v>0</v>
      </c>
      <c r="X100" s="17">
        <f>IFERROR(IF(X$58&gt;='CBA Inputs'!$H24,MAX('CBA Inputs'!$E24-'CBA Inputs'!$E24/'CBA Inputs'!$I24*(X$58-'CBA Inputs'!$H24+1),0),0)*IF(X$58=FirstYear+AnalysisPeriod-1,1,0),0)*CapitalCost_ACTIVE*X$55</f>
        <v>0</v>
      </c>
      <c r="Y100" s="17">
        <f>IFERROR(IF(Y$58&gt;='CBA Inputs'!$H24,MAX('CBA Inputs'!$E24-'CBA Inputs'!$E24/'CBA Inputs'!$I24*(Y$58-'CBA Inputs'!$H24+1),0),0)*IF(Y$58=FirstYear+AnalysisPeriod-1,1,0),0)*CapitalCost_ACTIVE*Y$55</f>
        <v>0</v>
      </c>
      <c r="Z100" s="17">
        <f>IFERROR(IF(Z$58&gt;='CBA Inputs'!$H24,MAX('CBA Inputs'!$E24-'CBA Inputs'!$E24/'CBA Inputs'!$I24*(Z$58-'CBA Inputs'!$H24+1),0),0)*IF(Z$58=FirstYear+AnalysisPeriod-1,1,0),0)*CapitalCost_ACTIVE*Z$55</f>
        <v>0</v>
      </c>
      <c r="AA100" s="17">
        <f>IFERROR(IF(AA$58&gt;='CBA Inputs'!$H24,MAX('CBA Inputs'!$E24-'CBA Inputs'!$E24/'CBA Inputs'!$I24*(AA$58-'CBA Inputs'!$H24+1),0),0)*IF(AA$58=FirstYear+AnalysisPeriod-1,1,0),0)*CapitalCost_ACTIVE*AA$55</f>
        <v>0</v>
      </c>
      <c r="AB100" s="17">
        <f>IFERROR(IF(AB$58&gt;='CBA Inputs'!$H24,MAX('CBA Inputs'!$E24-'CBA Inputs'!$E24/'CBA Inputs'!$I24*(AB$58-'CBA Inputs'!$H24+1),0),0)*IF(AB$58=FirstYear+AnalysisPeriod-1,1,0),0)*CapitalCost_ACTIVE*AB$55</f>
        <v>0</v>
      </c>
      <c r="AC100" s="17">
        <f>IFERROR(IF(AC$58&gt;='CBA Inputs'!$H24,MAX('CBA Inputs'!$E24-'CBA Inputs'!$E24/'CBA Inputs'!$I24*(AC$58-'CBA Inputs'!$H24+1),0),0)*IF(AC$58=FirstYear+AnalysisPeriod-1,1,0),0)*CapitalCost_ACTIVE*AC$55</f>
        <v>0</v>
      </c>
      <c r="AD100" s="17">
        <f>IFERROR(IF(AD$58&gt;='CBA Inputs'!$H24,MAX('CBA Inputs'!$E24-'CBA Inputs'!$E24/'CBA Inputs'!$I24*(AD$58-'CBA Inputs'!$H24+1),0),0)*IF(AD$58=FirstYear+AnalysisPeriod-1,1,0),0)*CapitalCost_ACTIVE*AD$55</f>
        <v>0</v>
      </c>
      <c r="AE100" s="17">
        <f>IFERROR(IF(AE$58&gt;='CBA Inputs'!$H24,MAX('CBA Inputs'!$E24-'CBA Inputs'!$E24/'CBA Inputs'!$I24*(AE$58-'CBA Inputs'!$H24+1),0),0)*IF(AE$58=FirstYear+AnalysisPeriod-1,1,0),0)*CapitalCost_ACTIVE*AE$55</f>
        <v>0</v>
      </c>
      <c r="AF100" s="17">
        <f>IFERROR(IF(AF$58&gt;='CBA Inputs'!$H24,MAX('CBA Inputs'!$E24-'CBA Inputs'!$E24/'CBA Inputs'!$I24*(AF$58-'CBA Inputs'!$H24+1),0),0)*IF(AF$58=FirstYear+AnalysisPeriod-1,1,0),0)*CapitalCost_ACTIVE*AF$55</f>
        <v>490100000</v>
      </c>
      <c r="AG100" s="17">
        <f>IFERROR(IF(AG$58&gt;='CBA Inputs'!$H24,MAX('CBA Inputs'!$E24-'CBA Inputs'!$E24/'CBA Inputs'!$I24*(AG$58-'CBA Inputs'!$H24+1),0),0)*IF(AG$58=FirstYear+AnalysisPeriod-1,1,0),0)*CapitalCost_ACTIVE*AG$55</f>
        <v>0</v>
      </c>
      <c r="AH100" s="17">
        <f>IFERROR(IF(AH$58&gt;='CBA Inputs'!$H24,MAX('CBA Inputs'!$E24-'CBA Inputs'!$E24/'CBA Inputs'!$I24*(AH$58-'CBA Inputs'!$H24+1),0),0)*IF(AH$58=FirstYear+AnalysisPeriod-1,1,0),0)*CapitalCost_ACTIVE*AH$55</f>
        <v>0</v>
      </c>
      <c r="AI100" s="17">
        <f>IFERROR(IF(AI$58&gt;='CBA Inputs'!$H24,MAX('CBA Inputs'!$E24-'CBA Inputs'!$E24/'CBA Inputs'!$I24*(AI$58-'CBA Inputs'!$H24+1),0),0)*IF(AI$58=FirstYear+AnalysisPeriod-1,1,0),0)*CapitalCost_ACTIVE*AI$55</f>
        <v>0</v>
      </c>
      <c r="AJ100" s="17">
        <f>IFERROR(IF(AJ$58&gt;='CBA Inputs'!$H24,MAX('CBA Inputs'!$E24-'CBA Inputs'!$E24/'CBA Inputs'!$I24*(AJ$58-'CBA Inputs'!$H24+1),0),0)*IF(AJ$58=FirstYear+AnalysisPeriod-1,1,0),0)*CapitalCost_ACTIVE*AJ$55</f>
        <v>0</v>
      </c>
      <c r="AM100" s="9">
        <f t="shared" si="35"/>
        <v>5</v>
      </c>
      <c r="AN100" s="26" t="str">
        <f t="shared" si="35"/>
        <v>Option 2B</v>
      </c>
      <c r="AO100" s="26" t="str">
        <f t="shared" si="35"/>
        <v>Substation</v>
      </c>
      <c r="AP100" s="12" t="s">
        <v>35</v>
      </c>
      <c r="AQ100" s="18">
        <f t="shared" si="36"/>
        <v>31529097.73516601</v>
      </c>
      <c r="AR100" s="17">
        <f>IFERROR(IF(G$58&gt;='CBA Inputs'!$R24,MAX('CBA Inputs'!$O24-'CBA Inputs'!$O24/'CBA Inputs'!$S24*(G$58-'CBA Inputs'!$R24+1),0),0)*IF(G$58=FirstYear+AnalysisPeriod-1,1,0),0)*CapitalCost_ACTIVE*G$55*IF(Scenario_Select='CBA Inputs'!$T24,1,0)</f>
        <v>0</v>
      </c>
      <c r="AS100" s="17">
        <f>IFERROR(IF(H$58&gt;='CBA Inputs'!$R24,MAX('CBA Inputs'!$O24-'CBA Inputs'!$O24/'CBA Inputs'!$S24*(H$58-'CBA Inputs'!$R24+1),0),0)*IF(H$58=FirstYear+AnalysisPeriod-1,1,0),0)*CapitalCost_ACTIVE*H$55*IF(Scenario_Select='CBA Inputs'!$T24,1,0)</f>
        <v>0</v>
      </c>
      <c r="AT100" s="17">
        <f>IFERROR(IF(I$58&gt;='CBA Inputs'!$R24,MAX('CBA Inputs'!$O24-'CBA Inputs'!$O24/'CBA Inputs'!$S24*(I$58-'CBA Inputs'!$R24+1),0),0)*IF(I$58=FirstYear+AnalysisPeriod-1,1,0),0)*CapitalCost_ACTIVE*I$55*IF(Scenario_Select='CBA Inputs'!$T24,1,0)</f>
        <v>0</v>
      </c>
      <c r="AU100" s="17">
        <f>IFERROR(IF(J$58&gt;='CBA Inputs'!$R24,MAX('CBA Inputs'!$O24-'CBA Inputs'!$O24/'CBA Inputs'!$S24*(J$58-'CBA Inputs'!$R24+1),0),0)*IF(J$58=FirstYear+AnalysisPeriod-1,1,0),0)*CapitalCost_ACTIVE*J$55*IF(Scenario_Select='CBA Inputs'!$T24,1,0)</f>
        <v>0</v>
      </c>
      <c r="AV100" s="17">
        <f>IFERROR(IF(K$58&gt;='CBA Inputs'!$R24,MAX('CBA Inputs'!$O24-'CBA Inputs'!$O24/'CBA Inputs'!$S24*(K$58-'CBA Inputs'!$R24+1),0),0)*IF(K$58=FirstYear+AnalysisPeriod-1,1,0),0)*CapitalCost_ACTIVE*K$55*IF(Scenario_Select='CBA Inputs'!$T24,1,0)</f>
        <v>0</v>
      </c>
      <c r="AW100" s="17">
        <f>IFERROR(IF(L$58&gt;='CBA Inputs'!$R24,MAX('CBA Inputs'!$O24-'CBA Inputs'!$O24/'CBA Inputs'!$S24*(L$58-'CBA Inputs'!$R24+1),0),0)*IF(L$58=FirstYear+AnalysisPeriod-1,1,0),0)*CapitalCost_ACTIVE*L$55*IF(Scenario_Select='CBA Inputs'!$T24,1,0)</f>
        <v>0</v>
      </c>
      <c r="AX100" s="17">
        <f>IFERROR(IF(M$58&gt;='CBA Inputs'!$R24,MAX('CBA Inputs'!$O24-'CBA Inputs'!$O24/'CBA Inputs'!$S24*(M$58-'CBA Inputs'!$R24+1),0),0)*IF(M$58=FirstYear+AnalysisPeriod-1,1,0),0)*CapitalCost_ACTIVE*M$55*IF(Scenario_Select='CBA Inputs'!$T24,1,0)</f>
        <v>0</v>
      </c>
      <c r="AY100" s="17">
        <f>IFERROR(IF(N$58&gt;='CBA Inputs'!$R24,MAX('CBA Inputs'!$O24-'CBA Inputs'!$O24/'CBA Inputs'!$S24*(N$58-'CBA Inputs'!$R24+1),0),0)*IF(N$58=FirstYear+AnalysisPeriod-1,1,0),0)*CapitalCost_ACTIVE*N$55*IF(Scenario_Select='CBA Inputs'!$T24,1,0)</f>
        <v>0</v>
      </c>
      <c r="AZ100" s="17">
        <f>IFERROR(IF(O$58&gt;='CBA Inputs'!$R24,MAX('CBA Inputs'!$O24-'CBA Inputs'!$O24/'CBA Inputs'!$S24*(O$58-'CBA Inputs'!$R24+1),0),0)*IF(O$58=FirstYear+AnalysisPeriod-1,1,0),0)*CapitalCost_ACTIVE*O$55*IF(Scenario_Select='CBA Inputs'!$T24,1,0)</f>
        <v>0</v>
      </c>
      <c r="BA100" s="17">
        <f>IFERROR(IF(P$58&gt;='CBA Inputs'!$R24,MAX('CBA Inputs'!$O24-'CBA Inputs'!$O24/'CBA Inputs'!$S24*(P$58-'CBA Inputs'!$R24+1),0),0)*IF(P$58=FirstYear+AnalysisPeriod-1,1,0),0)*CapitalCost_ACTIVE*P$55*IF(Scenario_Select='CBA Inputs'!$T24,1,0)</f>
        <v>0</v>
      </c>
      <c r="BB100" s="17">
        <f>IFERROR(IF(Q$58&gt;='CBA Inputs'!$R24,MAX('CBA Inputs'!$O24-'CBA Inputs'!$O24/'CBA Inputs'!$S24*(Q$58-'CBA Inputs'!$R24+1),0),0)*IF(Q$58=FirstYear+AnalysisPeriod-1,1,0),0)*CapitalCost_ACTIVE*Q$55*IF(Scenario_Select='CBA Inputs'!$T24,1,0)</f>
        <v>0</v>
      </c>
      <c r="BC100" s="17">
        <f>IFERROR(IF(R$58&gt;='CBA Inputs'!$R24,MAX('CBA Inputs'!$O24-'CBA Inputs'!$O24/'CBA Inputs'!$S24*(R$58-'CBA Inputs'!$R24+1),0),0)*IF(R$58=FirstYear+AnalysisPeriod-1,1,0),0)*CapitalCost_ACTIVE*R$55*IF(Scenario_Select='CBA Inputs'!$T24,1,0)</f>
        <v>0</v>
      </c>
      <c r="BD100" s="17">
        <f>IFERROR(IF(S$58&gt;='CBA Inputs'!$R24,MAX('CBA Inputs'!$O24-'CBA Inputs'!$O24/'CBA Inputs'!$S24*(S$58-'CBA Inputs'!$R24+1),0),0)*IF(S$58=FirstYear+AnalysisPeriod-1,1,0),0)*CapitalCost_ACTIVE*S$55*IF(Scenario_Select='CBA Inputs'!$T24,1,0)</f>
        <v>0</v>
      </c>
      <c r="BE100" s="17">
        <f>IFERROR(IF(T$58&gt;='CBA Inputs'!$R24,MAX('CBA Inputs'!$O24-'CBA Inputs'!$O24/'CBA Inputs'!$S24*(T$58-'CBA Inputs'!$R24+1),0),0)*IF(T$58=FirstYear+AnalysisPeriod-1,1,0),0)*CapitalCost_ACTIVE*T$55*IF(Scenario_Select='CBA Inputs'!$T24,1,0)</f>
        <v>0</v>
      </c>
      <c r="BF100" s="17">
        <f>IFERROR(IF(U$58&gt;='CBA Inputs'!$R24,MAX('CBA Inputs'!$O24-'CBA Inputs'!$O24/'CBA Inputs'!$S24*(U$58-'CBA Inputs'!$R24+1),0),0)*IF(U$58=FirstYear+AnalysisPeriod-1,1,0),0)*CapitalCost_ACTIVE*U$55*IF(Scenario_Select='CBA Inputs'!$T24,1,0)</f>
        <v>0</v>
      </c>
      <c r="BG100" s="17">
        <f>IFERROR(IF(V$58&gt;='CBA Inputs'!$R24,MAX('CBA Inputs'!$O24-'CBA Inputs'!$O24/'CBA Inputs'!$S24*(V$58-'CBA Inputs'!$R24+1),0),0)*IF(V$58=FirstYear+AnalysisPeriod-1,1,0),0)*CapitalCost_ACTIVE*V$55*IF(Scenario_Select='CBA Inputs'!$T24,1,0)</f>
        <v>0</v>
      </c>
      <c r="BH100" s="17">
        <f>IFERROR(IF(W$58&gt;='CBA Inputs'!$R24,MAX('CBA Inputs'!$O24-'CBA Inputs'!$O24/'CBA Inputs'!$S24*(W$58-'CBA Inputs'!$R24+1),0),0)*IF(W$58=FirstYear+AnalysisPeriod-1,1,0),0)*CapitalCost_ACTIVE*W$55*IF(Scenario_Select='CBA Inputs'!$T24,1,0)</f>
        <v>0</v>
      </c>
      <c r="BI100" s="17">
        <f>IFERROR(IF(X$58&gt;='CBA Inputs'!$R24,MAX('CBA Inputs'!$O24-'CBA Inputs'!$O24/'CBA Inputs'!$S24*(X$58-'CBA Inputs'!$R24+1),0),0)*IF(X$58=FirstYear+AnalysisPeriod-1,1,0),0)*CapitalCost_ACTIVE*X$55*IF(Scenario_Select='CBA Inputs'!$T24,1,0)</f>
        <v>0</v>
      </c>
      <c r="BJ100" s="17">
        <f>IFERROR(IF(Y$58&gt;='CBA Inputs'!$R24,MAX('CBA Inputs'!$O24-'CBA Inputs'!$O24/'CBA Inputs'!$S24*(Y$58-'CBA Inputs'!$R24+1),0),0)*IF(Y$58=FirstYear+AnalysisPeriod-1,1,0),0)*CapitalCost_ACTIVE*Y$55*IF(Scenario_Select='CBA Inputs'!$T24,1,0)</f>
        <v>0</v>
      </c>
      <c r="BK100" s="17">
        <f>IFERROR(IF(Z$58&gt;='CBA Inputs'!$R24,MAX('CBA Inputs'!$O24-'CBA Inputs'!$O24/'CBA Inputs'!$S24*(Z$58-'CBA Inputs'!$R24+1),0),0)*IF(Z$58=FirstYear+AnalysisPeriod-1,1,0),0)*CapitalCost_ACTIVE*Z$55*IF(Scenario_Select='CBA Inputs'!$T24,1,0)</f>
        <v>0</v>
      </c>
      <c r="BL100" s="17">
        <f>IFERROR(IF(AA$58&gt;='CBA Inputs'!$R24,MAX('CBA Inputs'!$O24-'CBA Inputs'!$O24/'CBA Inputs'!$S24*(AA$58-'CBA Inputs'!$R24+1),0),0)*IF(AA$58=FirstYear+AnalysisPeriod-1,1,0),0)*CapitalCost_ACTIVE*AA$55*IF(Scenario_Select='CBA Inputs'!$T24,1,0)</f>
        <v>0</v>
      </c>
      <c r="BM100" s="17">
        <f>IFERROR(IF(AB$58&gt;='CBA Inputs'!$R24,MAX('CBA Inputs'!$O24-'CBA Inputs'!$O24/'CBA Inputs'!$S24*(AB$58-'CBA Inputs'!$R24+1),0),0)*IF(AB$58=FirstYear+AnalysisPeriod-1,1,0),0)*CapitalCost_ACTIVE*AB$55*IF(Scenario_Select='CBA Inputs'!$T24,1,0)</f>
        <v>0</v>
      </c>
      <c r="BN100" s="17">
        <f>IFERROR(IF(AC$58&gt;='CBA Inputs'!$R24,MAX('CBA Inputs'!$O24-'CBA Inputs'!$O24/'CBA Inputs'!$S24*(AC$58-'CBA Inputs'!$R24+1),0),0)*IF(AC$58=FirstYear+AnalysisPeriod-1,1,0),0)*CapitalCost_ACTIVE*AC$55*IF(Scenario_Select='CBA Inputs'!$T24,1,0)</f>
        <v>0</v>
      </c>
      <c r="BO100" s="17">
        <f>IFERROR(IF(AD$58&gt;='CBA Inputs'!$R24,MAX('CBA Inputs'!$O24-'CBA Inputs'!$O24/'CBA Inputs'!$S24*(AD$58-'CBA Inputs'!$R24+1),0),0)*IF(AD$58=FirstYear+AnalysisPeriod-1,1,0),0)*CapitalCost_ACTIVE*AD$55*IF(Scenario_Select='CBA Inputs'!$T24,1,0)</f>
        <v>0</v>
      </c>
      <c r="BP100" s="17">
        <f>IFERROR(IF(AE$58&gt;='CBA Inputs'!$R24,MAX('CBA Inputs'!$O24-'CBA Inputs'!$O24/'CBA Inputs'!$S24*(AE$58-'CBA Inputs'!$R24+1),0),0)*IF(AE$58=FirstYear+AnalysisPeriod-1,1,0),0)*CapitalCost_ACTIVE*AE$55*IF(Scenario_Select='CBA Inputs'!$T24,1,0)</f>
        <v>0</v>
      </c>
      <c r="BQ100" s="17">
        <f>IFERROR(IF(AF$58&gt;='CBA Inputs'!$R24,MAX('CBA Inputs'!$O24-'CBA Inputs'!$O24/'CBA Inputs'!$S24*(AF$58-'CBA Inputs'!$R24+1),0),0)*IF(AF$58=FirstYear+AnalysisPeriod-1,1,0),0)*CapitalCost_ACTIVE*AF$55*IF(Scenario_Select='CBA Inputs'!$T24,1,0)</f>
        <v>124800000</v>
      </c>
      <c r="BR100" s="17">
        <f>IFERROR(IF(AG$58&gt;='CBA Inputs'!$R24,MAX('CBA Inputs'!$O24-'CBA Inputs'!$O24/'CBA Inputs'!$S24*(AG$58-'CBA Inputs'!$R24+1),0),0)*IF(AG$58=FirstYear+AnalysisPeriod-1,1,0),0)*CapitalCost_ACTIVE*AG$55*IF(Scenario_Select='CBA Inputs'!$T24,1,0)</f>
        <v>0</v>
      </c>
      <c r="BS100" s="17">
        <f>IFERROR(IF(AH$58&gt;='CBA Inputs'!$R24,MAX('CBA Inputs'!$O24-'CBA Inputs'!$O24/'CBA Inputs'!$S24*(AH$58-'CBA Inputs'!$R24+1),0),0)*IF(AH$58=FirstYear+AnalysisPeriod-1,1,0),0)*CapitalCost_ACTIVE*AH$55*IF(Scenario_Select='CBA Inputs'!$T24,1,0)</f>
        <v>0</v>
      </c>
      <c r="BT100" s="17">
        <f>IFERROR(IF(AI$58&gt;='CBA Inputs'!$R24,MAX('CBA Inputs'!$O24-'CBA Inputs'!$O24/'CBA Inputs'!$S24*(AI$58-'CBA Inputs'!$R24+1),0),0)*IF(AI$58=FirstYear+AnalysisPeriod-1,1,0),0)*CapitalCost_ACTIVE*AI$55*IF(Scenario_Select='CBA Inputs'!$T24,1,0)</f>
        <v>0</v>
      </c>
      <c r="BU100" s="17">
        <f>IFERROR(IF(AJ$58&gt;='CBA Inputs'!$R24,MAX('CBA Inputs'!$O24-'CBA Inputs'!$O24/'CBA Inputs'!$S24*(AJ$58-'CBA Inputs'!$R24+1),0),0)*IF(AJ$58=FirstYear+AnalysisPeriod-1,1,0),0)*CapitalCost_ACTIVE*AJ$55*IF(Scenario_Select='CBA Inputs'!$T24,1,0)</f>
        <v>0</v>
      </c>
    </row>
    <row r="101" spans="1:73" x14ac:dyDescent="0.35">
      <c r="B101" s="9">
        <f t="shared" si="30"/>
        <v>3</v>
      </c>
      <c r="C101" s="26" t="str">
        <f t="shared" si="30"/>
        <v>Option 1C</v>
      </c>
      <c r="D101" s="26" t="str">
        <f t="shared" si="33"/>
        <v>Substation</v>
      </c>
      <c r="E101" s="12" t="s">
        <v>35</v>
      </c>
      <c r="F101" s="18">
        <f t="shared" si="34"/>
        <v>24363129.117665343</v>
      </c>
      <c r="G101" s="17">
        <f>IFERROR(IF(G$58&gt;='CBA Inputs'!$H25,MAX('CBA Inputs'!$E25-'CBA Inputs'!$E25/'CBA Inputs'!$I25*(G$58-'CBA Inputs'!$H25+1),0),0)*IF(G$58=FirstYear+AnalysisPeriod-1,1,0),0)*CapitalCost_ACTIVE*G$55</f>
        <v>0</v>
      </c>
      <c r="H101" s="17">
        <f>IFERROR(IF(H$58&gt;='CBA Inputs'!$H25,MAX('CBA Inputs'!$E25-'CBA Inputs'!$E25/'CBA Inputs'!$I25*(H$58-'CBA Inputs'!$H25+1),0),0)*IF(H$58=FirstYear+AnalysisPeriod-1,1,0),0)*CapitalCost_ACTIVE*H$55</f>
        <v>0</v>
      </c>
      <c r="I101" s="17">
        <f>IFERROR(IF(I$58&gt;='CBA Inputs'!$H25,MAX('CBA Inputs'!$E25-'CBA Inputs'!$E25/'CBA Inputs'!$I25*(I$58-'CBA Inputs'!$H25+1),0),0)*IF(I$58=FirstYear+AnalysisPeriod-1,1,0),0)*CapitalCost_ACTIVE*I$55</f>
        <v>0</v>
      </c>
      <c r="J101" s="17">
        <f>IFERROR(IF(J$58&gt;='CBA Inputs'!$H25,MAX('CBA Inputs'!$E25-'CBA Inputs'!$E25/'CBA Inputs'!$I25*(J$58-'CBA Inputs'!$H25+1),0),0)*IF(J$58=FirstYear+AnalysisPeriod-1,1,0),0)*CapitalCost_ACTIVE*J$55</f>
        <v>0</v>
      </c>
      <c r="K101" s="17">
        <f>IFERROR(IF(K$58&gt;='CBA Inputs'!$H25,MAX('CBA Inputs'!$E25-'CBA Inputs'!$E25/'CBA Inputs'!$I25*(K$58-'CBA Inputs'!$H25+1),0),0)*IF(K$58=FirstYear+AnalysisPeriod-1,1,0),0)*CapitalCost_ACTIVE*K$55</f>
        <v>0</v>
      </c>
      <c r="L101" s="17">
        <f>IFERROR(IF(L$58&gt;='CBA Inputs'!$H25,MAX('CBA Inputs'!$E25-'CBA Inputs'!$E25/'CBA Inputs'!$I25*(L$58-'CBA Inputs'!$H25+1),0),0)*IF(L$58=FirstYear+AnalysisPeriod-1,1,0),0)*CapitalCost_ACTIVE*L$55</f>
        <v>0</v>
      </c>
      <c r="M101" s="17">
        <f>IFERROR(IF(M$58&gt;='CBA Inputs'!$H25,MAX('CBA Inputs'!$E25-'CBA Inputs'!$E25/'CBA Inputs'!$I25*(M$58-'CBA Inputs'!$H25+1),0),0)*IF(M$58=FirstYear+AnalysisPeriod-1,1,0),0)*CapitalCost_ACTIVE*M$55</f>
        <v>0</v>
      </c>
      <c r="N101" s="17">
        <f>IFERROR(IF(N$58&gt;='CBA Inputs'!$H25,MAX('CBA Inputs'!$E25-'CBA Inputs'!$E25/'CBA Inputs'!$I25*(N$58-'CBA Inputs'!$H25+1),0),0)*IF(N$58=FirstYear+AnalysisPeriod-1,1,0),0)*CapitalCost_ACTIVE*N$55</f>
        <v>0</v>
      </c>
      <c r="O101" s="17">
        <f>IFERROR(IF(O$58&gt;='CBA Inputs'!$H25,MAX('CBA Inputs'!$E25-'CBA Inputs'!$E25/'CBA Inputs'!$I25*(O$58-'CBA Inputs'!$H25+1),0),0)*IF(O$58=FirstYear+AnalysisPeriod-1,1,0),0)*CapitalCost_ACTIVE*O$55</f>
        <v>0</v>
      </c>
      <c r="P101" s="17">
        <f>IFERROR(IF(P$58&gt;='CBA Inputs'!$H25,MAX('CBA Inputs'!$E25-'CBA Inputs'!$E25/'CBA Inputs'!$I25*(P$58-'CBA Inputs'!$H25+1),0),0)*IF(P$58=FirstYear+AnalysisPeriod-1,1,0),0)*CapitalCost_ACTIVE*P$55</f>
        <v>0</v>
      </c>
      <c r="Q101" s="17">
        <f>IFERROR(IF(Q$58&gt;='CBA Inputs'!$H25,MAX('CBA Inputs'!$E25-'CBA Inputs'!$E25/'CBA Inputs'!$I25*(Q$58-'CBA Inputs'!$H25+1),0),0)*IF(Q$58=FirstYear+AnalysisPeriod-1,1,0),0)*CapitalCost_ACTIVE*Q$55</f>
        <v>0</v>
      </c>
      <c r="R101" s="17">
        <f>IFERROR(IF(R$58&gt;='CBA Inputs'!$H25,MAX('CBA Inputs'!$E25-'CBA Inputs'!$E25/'CBA Inputs'!$I25*(R$58-'CBA Inputs'!$H25+1),0),0)*IF(R$58=FirstYear+AnalysisPeriod-1,1,0),0)*CapitalCost_ACTIVE*R$55</f>
        <v>0</v>
      </c>
      <c r="S101" s="17">
        <f>IFERROR(IF(S$58&gt;='CBA Inputs'!$H25,MAX('CBA Inputs'!$E25-'CBA Inputs'!$E25/'CBA Inputs'!$I25*(S$58-'CBA Inputs'!$H25+1),0),0)*IF(S$58=FirstYear+AnalysisPeriod-1,1,0),0)*CapitalCost_ACTIVE*S$55</f>
        <v>0</v>
      </c>
      <c r="T101" s="17">
        <f>IFERROR(IF(T$58&gt;='CBA Inputs'!$H25,MAX('CBA Inputs'!$E25-'CBA Inputs'!$E25/'CBA Inputs'!$I25*(T$58-'CBA Inputs'!$H25+1),0),0)*IF(T$58=FirstYear+AnalysisPeriod-1,1,0),0)*CapitalCost_ACTIVE*T$55</f>
        <v>0</v>
      </c>
      <c r="U101" s="17">
        <f>IFERROR(IF(U$58&gt;='CBA Inputs'!$H25,MAX('CBA Inputs'!$E25-'CBA Inputs'!$E25/'CBA Inputs'!$I25*(U$58-'CBA Inputs'!$H25+1),0),0)*IF(U$58=FirstYear+AnalysisPeriod-1,1,0),0)*CapitalCost_ACTIVE*U$55</f>
        <v>0</v>
      </c>
      <c r="V101" s="17">
        <f>IFERROR(IF(V$58&gt;='CBA Inputs'!$H25,MAX('CBA Inputs'!$E25-'CBA Inputs'!$E25/'CBA Inputs'!$I25*(V$58-'CBA Inputs'!$H25+1),0),0)*IF(V$58=FirstYear+AnalysisPeriod-1,1,0),0)*CapitalCost_ACTIVE*V$55</f>
        <v>0</v>
      </c>
      <c r="W101" s="17">
        <f>IFERROR(IF(W$58&gt;='CBA Inputs'!$H25,MAX('CBA Inputs'!$E25-'CBA Inputs'!$E25/'CBA Inputs'!$I25*(W$58-'CBA Inputs'!$H25+1),0),0)*IF(W$58=FirstYear+AnalysisPeriod-1,1,0),0)*CapitalCost_ACTIVE*W$55</f>
        <v>0</v>
      </c>
      <c r="X101" s="17">
        <f>IFERROR(IF(X$58&gt;='CBA Inputs'!$H25,MAX('CBA Inputs'!$E25-'CBA Inputs'!$E25/'CBA Inputs'!$I25*(X$58-'CBA Inputs'!$H25+1),0),0)*IF(X$58=FirstYear+AnalysisPeriod-1,1,0),0)*CapitalCost_ACTIVE*X$55</f>
        <v>0</v>
      </c>
      <c r="Y101" s="17">
        <f>IFERROR(IF(Y$58&gt;='CBA Inputs'!$H25,MAX('CBA Inputs'!$E25-'CBA Inputs'!$E25/'CBA Inputs'!$I25*(Y$58-'CBA Inputs'!$H25+1),0),0)*IF(Y$58=FirstYear+AnalysisPeriod-1,1,0),0)*CapitalCost_ACTIVE*Y$55</f>
        <v>0</v>
      </c>
      <c r="Z101" s="17">
        <f>IFERROR(IF(Z$58&gt;='CBA Inputs'!$H25,MAX('CBA Inputs'!$E25-'CBA Inputs'!$E25/'CBA Inputs'!$I25*(Z$58-'CBA Inputs'!$H25+1),0),0)*IF(Z$58=FirstYear+AnalysisPeriod-1,1,0),0)*CapitalCost_ACTIVE*Z$55</f>
        <v>0</v>
      </c>
      <c r="AA101" s="17">
        <f>IFERROR(IF(AA$58&gt;='CBA Inputs'!$H25,MAX('CBA Inputs'!$E25-'CBA Inputs'!$E25/'CBA Inputs'!$I25*(AA$58-'CBA Inputs'!$H25+1),0),0)*IF(AA$58=FirstYear+AnalysisPeriod-1,1,0),0)*CapitalCost_ACTIVE*AA$55</f>
        <v>0</v>
      </c>
      <c r="AB101" s="17">
        <f>IFERROR(IF(AB$58&gt;='CBA Inputs'!$H25,MAX('CBA Inputs'!$E25-'CBA Inputs'!$E25/'CBA Inputs'!$I25*(AB$58-'CBA Inputs'!$H25+1),0),0)*IF(AB$58=FirstYear+AnalysisPeriod-1,1,0),0)*CapitalCost_ACTIVE*AB$55</f>
        <v>0</v>
      </c>
      <c r="AC101" s="17">
        <f>IFERROR(IF(AC$58&gt;='CBA Inputs'!$H25,MAX('CBA Inputs'!$E25-'CBA Inputs'!$E25/'CBA Inputs'!$I25*(AC$58-'CBA Inputs'!$H25+1),0),0)*IF(AC$58=FirstYear+AnalysisPeriod-1,1,0),0)*CapitalCost_ACTIVE*AC$55</f>
        <v>0</v>
      </c>
      <c r="AD101" s="17">
        <f>IFERROR(IF(AD$58&gt;='CBA Inputs'!$H25,MAX('CBA Inputs'!$E25-'CBA Inputs'!$E25/'CBA Inputs'!$I25*(AD$58-'CBA Inputs'!$H25+1),0),0)*IF(AD$58=FirstYear+AnalysisPeriod-1,1,0),0)*CapitalCost_ACTIVE*AD$55</f>
        <v>0</v>
      </c>
      <c r="AE101" s="17">
        <f>IFERROR(IF(AE$58&gt;='CBA Inputs'!$H25,MAX('CBA Inputs'!$E25-'CBA Inputs'!$E25/'CBA Inputs'!$I25*(AE$58-'CBA Inputs'!$H25+1),0),0)*IF(AE$58=FirstYear+AnalysisPeriod-1,1,0),0)*CapitalCost_ACTIVE*AE$55</f>
        <v>0</v>
      </c>
      <c r="AF101" s="17">
        <f>IFERROR(IF(AF$58&gt;='CBA Inputs'!$H25,MAX('CBA Inputs'!$E25-'CBA Inputs'!$E25/'CBA Inputs'!$I25*(AF$58-'CBA Inputs'!$H25+1),0),0)*IF(AF$58=FirstYear+AnalysisPeriod-1,1,0),0)*CapitalCost_ACTIVE*AF$55</f>
        <v>102125000</v>
      </c>
      <c r="AG101" s="17">
        <f>IFERROR(IF(AG$58&gt;='CBA Inputs'!$H25,MAX('CBA Inputs'!$E25-'CBA Inputs'!$E25/'CBA Inputs'!$I25*(AG$58-'CBA Inputs'!$H25+1),0),0)*IF(AG$58=FirstYear+AnalysisPeriod-1,1,0),0)*CapitalCost_ACTIVE*AG$55</f>
        <v>0</v>
      </c>
      <c r="AH101" s="17">
        <f>IFERROR(IF(AH$58&gt;='CBA Inputs'!$H25,MAX('CBA Inputs'!$E25-'CBA Inputs'!$E25/'CBA Inputs'!$I25*(AH$58-'CBA Inputs'!$H25+1),0),0)*IF(AH$58=FirstYear+AnalysisPeriod-1,1,0),0)*CapitalCost_ACTIVE*AH$55</f>
        <v>0</v>
      </c>
      <c r="AI101" s="17">
        <f>IFERROR(IF(AI$58&gt;='CBA Inputs'!$H25,MAX('CBA Inputs'!$E25-'CBA Inputs'!$E25/'CBA Inputs'!$I25*(AI$58-'CBA Inputs'!$H25+1),0),0)*IF(AI$58=FirstYear+AnalysisPeriod-1,1,0),0)*CapitalCost_ACTIVE*AI$55</f>
        <v>0</v>
      </c>
      <c r="AJ101" s="17">
        <f>IFERROR(IF(AJ$58&gt;='CBA Inputs'!$H25,MAX('CBA Inputs'!$E25-'CBA Inputs'!$E25/'CBA Inputs'!$I25*(AJ$58-'CBA Inputs'!$H25+1),0),0)*IF(AJ$58=FirstYear+AnalysisPeriod-1,1,0),0)*CapitalCost_ACTIVE*AJ$55</f>
        <v>0</v>
      </c>
      <c r="AM101" s="9">
        <f t="shared" si="35"/>
        <v>5</v>
      </c>
      <c r="AN101" s="26" t="str">
        <f t="shared" si="35"/>
        <v>Option 2B</v>
      </c>
      <c r="AO101" s="26" t="str">
        <f t="shared" si="35"/>
        <v>Substation</v>
      </c>
      <c r="AP101" s="12" t="s">
        <v>35</v>
      </c>
      <c r="AQ101" s="18">
        <f t="shared" si="36"/>
        <v>0</v>
      </c>
      <c r="AR101" s="17">
        <f>IFERROR(IF(G$58&gt;='CBA Inputs'!$R25,MAX('CBA Inputs'!$O25-'CBA Inputs'!$O25/'CBA Inputs'!$S25*(G$58-'CBA Inputs'!$R25+1),0),0)*IF(G$58=FirstYear+AnalysisPeriod-1,1,0),0)*CapitalCost_ACTIVE*G$55*IF(Scenario_Select='CBA Inputs'!$T25,1,0)</f>
        <v>0</v>
      </c>
      <c r="AS101" s="17">
        <f>IFERROR(IF(H$58&gt;='CBA Inputs'!$R25,MAX('CBA Inputs'!$O25-'CBA Inputs'!$O25/'CBA Inputs'!$S25*(H$58-'CBA Inputs'!$R25+1),0),0)*IF(H$58=FirstYear+AnalysisPeriod-1,1,0),0)*CapitalCost_ACTIVE*H$55*IF(Scenario_Select='CBA Inputs'!$T25,1,0)</f>
        <v>0</v>
      </c>
      <c r="AT101" s="17">
        <f>IFERROR(IF(I$58&gt;='CBA Inputs'!$R25,MAX('CBA Inputs'!$O25-'CBA Inputs'!$O25/'CBA Inputs'!$S25*(I$58-'CBA Inputs'!$R25+1),0),0)*IF(I$58=FirstYear+AnalysisPeriod-1,1,0),0)*CapitalCost_ACTIVE*I$55*IF(Scenario_Select='CBA Inputs'!$T25,1,0)</f>
        <v>0</v>
      </c>
      <c r="AU101" s="17">
        <f>IFERROR(IF(J$58&gt;='CBA Inputs'!$R25,MAX('CBA Inputs'!$O25-'CBA Inputs'!$O25/'CBA Inputs'!$S25*(J$58-'CBA Inputs'!$R25+1),0),0)*IF(J$58=FirstYear+AnalysisPeriod-1,1,0),0)*CapitalCost_ACTIVE*J$55*IF(Scenario_Select='CBA Inputs'!$T25,1,0)</f>
        <v>0</v>
      </c>
      <c r="AV101" s="17">
        <f>IFERROR(IF(K$58&gt;='CBA Inputs'!$R25,MAX('CBA Inputs'!$O25-'CBA Inputs'!$O25/'CBA Inputs'!$S25*(K$58-'CBA Inputs'!$R25+1),0),0)*IF(K$58=FirstYear+AnalysisPeriod-1,1,0),0)*CapitalCost_ACTIVE*K$55*IF(Scenario_Select='CBA Inputs'!$T25,1,0)</f>
        <v>0</v>
      </c>
      <c r="AW101" s="17">
        <f>IFERROR(IF(L$58&gt;='CBA Inputs'!$R25,MAX('CBA Inputs'!$O25-'CBA Inputs'!$O25/'CBA Inputs'!$S25*(L$58-'CBA Inputs'!$R25+1),0),0)*IF(L$58=FirstYear+AnalysisPeriod-1,1,0),0)*CapitalCost_ACTIVE*L$55*IF(Scenario_Select='CBA Inputs'!$T25,1,0)</f>
        <v>0</v>
      </c>
      <c r="AX101" s="17">
        <f>IFERROR(IF(M$58&gt;='CBA Inputs'!$R25,MAX('CBA Inputs'!$O25-'CBA Inputs'!$O25/'CBA Inputs'!$S25*(M$58-'CBA Inputs'!$R25+1),0),0)*IF(M$58=FirstYear+AnalysisPeriod-1,1,0),0)*CapitalCost_ACTIVE*M$55*IF(Scenario_Select='CBA Inputs'!$T25,1,0)</f>
        <v>0</v>
      </c>
      <c r="AY101" s="17">
        <f>IFERROR(IF(N$58&gt;='CBA Inputs'!$R25,MAX('CBA Inputs'!$O25-'CBA Inputs'!$O25/'CBA Inputs'!$S25*(N$58-'CBA Inputs'!$R25+1),0),0)*IF(N$58=FirstYear+AnalysisPeriod-1,1,0),0)*CapitalCost_ACTIVE*N$55*IF(Scenario_Select='CBA Inputs'!$T25,1,0)</f>
        <v>0</v>
      </c>
      <c r="AZ101" s="17">
        <f>IFERROR(IF(O$58&gt;='CBA Inputs'!$R25,MAX('CBA Inputs'!$O25-'CBA Inputs'!$O25/'CBA Inputs'!$S25*(O$58-'CBA Inputs'!$R25+1),0),0)*IF(O$58=FirstYear+AnalysisPeriod-1,1,0),0)*CapitalCost_ACTIVE*O$55*IF(Scenario_Select='CBA Inputs'!$T25,1,0)</f>
        <v>0</v>
      </c>
      <c r="BA101" s="17">
        <f>IFERROR(IF(P$58&gt;='CBA Inputs'!$R25,MAX('CBA Inputs'!$O25-'CBA Inputs'!$O25/'CBA Inputs'!$S25*(P$58-'CBA Inputs'!$R25+1),0),0)*IF(P$58=FirstYear+AnalysisPeriod-1,1,0),0)*CapitalCost_ACTIVE*P$55*IF(Scenario_Select='CBA Inputs'!$T25,1,0)</f>
        <v>0</v>
      </c>
      <c r="BB101" s="17">
        <f>IFERROR(IF(Q$58&gt;='CBA Inputs'!$R25,MAX('CBA Inputs'!$O25-'CBA Inputs'!$O25/'CBA Inputs'!$S25*(Q$58-'CBA Inputs'!$R25+1),0),0)*IF(Q$58=FirstYear+AnalysisPeriod-1,1,0),0)*CapitalCost_ACTIVE*Q$55*IF(Scenario_Select='CBA Inputs'!$T25,1,0)</f>
        <v>0</v>
      </c>
      <c r="BC101" s="17">
        <f>IFERROR(IF(R$58&gt;='CBA Inputs'!$R25,MAX('CBA Inputs'!$O25-'CBA Inputs'!$O25/'CBA Inputs'!$S25*(R$58-'CBA Inputs'!$R25+1),0),0)*IF(R$58=FirstYear+AnalysisPeriod-1,1,0),0)*CapitalCost_ACTIVE*R$55*IF(Scenario_Select='CBA Inputs'!$T25,1,0)</f>
        <v>0</v>
      </c>
      <c r="BD101" s="17">
        <f>IFERROR(IF(S$58&gt;='CBA Inputs'!$R25,MAX('CBA Inputs'!$O25-'CBA Inputs'!$O25/'CBA Inputs'!$S25*(S$58-'CBA Inputs'!$R25+1),0),0)*IF(S$58=FirstYear+AnalysisPeriod-1,1,0),0)*CapitalCost_ACTIVE*S$55*IF(Scenario_Select='CBA Inputs'!$T25,1,0)</f>
        <v>0</v>
      </c>
      <c r="BE101" s="17">
        <f>IFERROR(IF(T$58&gt;='CBA Inputs'!$R25,MAX('CBA Inputs'!$O25-'CBA Inputs'!$O25/'CBA Inputs'!$S25*(T$58-'CBA Inputs'!$R25+1),0),0)*IF(T$58=FirstYear+AnalysisPeriod-1,1,0),0)*CapitalCost_ACTIVE*T$55*IF(Scenario_Select='CBA Inputs'!$T25,1,0)</f>
        <v>0</v>
      </c>
      <c r="BF101" s="17">
        <f>IFERROR(IF(U$58&gt;='CBA Inputs'!$R25,MAX('CBA Inputs'!$O25-'CBA Inputs'!$O25/'CBA Inputs'!$S25*(U$58-'CBA Inputs'!$R25+1),0),0)*IF(U$58=FirstYear+AnalysisPeriod-1,1,0),0)*CapitalCost_ACTIVE*U$55*IF(Scenario_Select='CBA Inputs'!$T25,1,0)</f>
        <v>0</v>
      </c>
      <c r="BG101" s="17">
        <f>IFERROR(IF(V$58&gt;='CBA Inputs'!$R25,MAX('CBA Inputs'!$O25-'CBA Inputs'!$O25/'CBA Inputs'!$S25*(V$58-'CBA Inputs'!$R25+1),0),0)*IF(V$58=FirstYear+AnalysisPeriod-1,1,0),0)*CapitalCost_ACTIVE*V$55*IF(Scenario_Select='CBA Inputs'!$T25,1,0)</f>
        <v>0</v>
      </c>
      <c r="BH101" s="17">
        <f>IFERROR(IF(W$58&gt;='CBA Inputs'!$R25,MAX('CBA Inputs'!$O25-'CBA Inputs'!$O25/'CBA Inputs'!$S25*(W$58-'CBA Inputs'!$R25+1),0),0)*IF(W$58=FirstYear+AnalysisPeriod-1,1,0),0)*CapitalCost_ACTIVE*W$55*IF(Scenario_Select='CBA Inputs'!$T25,1,0)</f>
        <v>0</v>
      </c>
      <c r="BI101" s="17">
        <f>IFERROR(IF(X$58&gt;='CBA Inputs'!$R25,MAX('CBA Inputs'!$O25-'CBA Inputs'!$O25/'CBA Inputs'!$S25*(X$58-'CBA Inputs'!$R25+1),0),0)*IF(X$58=FirstYear+AnalysisPeriod-1,1,0),0)*CapitalCost_ACTIVE*X$55*IF(Scenario_Select='CBA Inputs'!$T25,1,0)</f>
        <v>0</v>
      </c>
      <c r="BJ101" s="17">
        <f>IFERROR(IF(Y$58&gt;='CBA Inputs'!$R25,MAX('CBA Inputs'!$O25-'CBA Inputs'!$O25/'CBA Inputs'!$S25*(Y$58-'CBA Inputs'!$R25+1),0),0)*IF(Y$58=FirstYear+AnalysisPeriod-1,1,0),0)*CapitalCost_ACTIVE*Y$55*IF(Scenario_Select='CBA Inputs'!$T25,1,0)</f>
        <v>0</v>
      </c>
      <c r="BK101" s="17">
        <f>IFERROR(IF(Z$58&gt;='CBA Inputs'!$R25,MAX('CBA Inputs'!$O25-'CBA Inputs'!$O25/'CBA Inputs'!$S25*(Z$58-'CBA Inputs'!$R25+1),0),0)*IF(Z$58=FirstYear+AnalysisPeriod-1,1,0),0)*CapitalCost_ACTIVE*Z$55*IF(Scenario_Select='CBA Inputs'!$T25,1,0)</f>
        <v>0</v>
      </c>
      <c r="BL101" s="17">
        <f>IFERROR(IF(AA$58&gt;='CBA Inputs'!$R25,MAX('CBA Inputs'!$O25-'CBA Inputs'!$O25/'CBA Inputs'!$S25*(AA$58-'CBA Inputs'!$R25+1),0),0)*IF(AA$58=FirstYear+AnalysisPeriod-1,1,0),0)*CapitalCost_ACTIVE*AA$55*IF(Scenario_Select='CBA Inputs'!$T25,1,0)</f>
        <v>0</v>
      </c>
      <c r="BM101" s="17">
        <f>IFERROR(IF(AB$58&gt;='CBA Inputs'!$R25,MAX('CBA Inputs'!$O25-'CBA Inputs'!$O25/'CBA Inputs'!$S25*(AB$58-'CBA Inputs'!$R25+1),0),0)*IF(AB$58=FirstYear+AnalysisPeriod-1,1,0),0)*CapitalCost_ACTIVE*AB$55*IF(Scenario_Select='CBA Inputs'!$T25,1,0)</f>
        <v>0</v>
      </c>
      <c r="BN101" s="17">
        <f>IFERROR(IF(AC$58&gt;='CBA Inputs'!$R25,MAX('CBA Inputs'!$O25-'CBA Inputs'!$O25/'CBA Inputs'!$S25*(AC$58-'CBA Inputs'!$R25+1),0),0)*IF(AC$58=FirstYear+AnalysisPeriod-1,1,0),0)*CapitalCost_ACTIVE*AC$55*IF(Scenario_Select='CBA Inputs'!$T25,1,0)</f>
        <v>0</v>
      </c>
      <c r="BO101" s="17">
        <f>IFERROR(IF(AD$58&gt;='CBA Inputs'!$R25,MAX('CBA Inputs'!$O25-'CBA Inputs'!$O25/'CBA Inputs'!$S25*(AD$58-'CBA Inputs'!$R25+1),0),0)*IF(AD$58=FirstYear+AnalysisPeriod-1,1,0),0)*CapitalCost_ACTIVE*AD$55*IF(Scenario_Select='CBA Inputs'!$T25,1,0)</f>
        <v>0</v>
      </c>
      <c r="BP101" s="17">
        <f>IFERROR(IF(AE$58&gt;='CBA Inputs'!$R25,MAX('CBA Inputs'!$O25-'CBA Inputs'!$O25/'CBA Inputs'!$S25*(AE$58-'CBA Inputs'!$R25+1),0),0)*IF(AE$58=FirstYear+AnalysisPeriod-1,1,0),0)*CapitalCost_ACTIVE*AE$55*IF(Scenario_Select='CBA Inputs'!$T25,1,0)</f>
        <v>0</v>
      </c>
      <c r="BQ101" s="17">
        <f>IFERROR(IF(AF$58&gt;='CBA Inputs'!$R25,MAX('CBA Inputs'!$O25-'CBA Inputs'!$O25/'CBA Inputs'!$S25*(AF$58-'CBA Inputs'!$R25+1),0),0)*IF(AF$58=FirstYear+AnalysisPeriod-1,1,0),0)*CapitalCost_ACTIVE*AF$55*IF(Scenario_Select='CBA Inputs'!$T25,1,0)</f>
        <v>0</v>
      </c>
      <c r="BR101" s="17">
        <f>IFERROR(IF(AG$58&gt;='CBA Inputs'!$R25,MAX('CBA Inputs'!$O25-'CBA Inputs'!$O25/'CBA Inputs'!$S25*(AG$58-'CBA Inputs'!$R25+1),0),0)*IF(AG$58=FirstYear+AnalysisPeriod-1,1,0),0)*CapitalCost_ACTIVE*AG$55*IF(Scenario_Select='CBA Inputs'!$T25,1,0)</f>
        <v>0</v>
      </c>
      <c r="BS101" s="17">
        <f>IFERROR(IF(AH$58&gt;='CBA Inputs'!$R25,MAX('CBA Inputs'!$O25-'CBA Inputs'!$O25/'CBA Inputs'!$S25*(AH$58-'CBA Inputs'!$R25+1),0),0)*IF(AH$58=FirstYear+AnalysisPeriod-1,1,0),0)*CapitalCost_ACTIVE*AH$55*IF(Scenario_Select='CBA Inputs'!$T25,1,0)</f>
        <v>0</v>
      </c>
      <c r="BT101" s="17">
        <f>IFERROR(IF(AI$58&gt;='CBA Inputs'!$R25,MAX('CBA Inputs'!$O25-'CBA Inputs'!$O25/'CBA Inputs'!$S25*(AI$58-'CBA Inputs'!$R25+1),0),0)*IF(AI$58=FirstYear+AnalysisPeriod-1,1,0),0)*CapitalCost_ACTIVE*AI$55*IF(Scenario_Select='CBA Inputs'!$T25,1,0)</f>
        <v>0</v>
      </c>
      <c r="BU101" s="17">
        <f>IFERROR(IF(AJ$58&gt;='CBA Inputs'!$R25,MAX('CBA Inputs'!$O25-'CBA Inputs'!$O25/'CBA Inputs'!$S25*(AJ$58-'CBA Inputs'!$R25+1),0),0)*IF(AJ$58=FirstYear+AnalysisPeriod-1,1,0),0)*CapitalCost_ACTIVE*AJ$55*IF(Scenario_Select='CBA Inputs'!$T25,1,0)</f>
        <v>0</v>
      </c>
    </row>
    <row r="102" spans="1:73" x14ac:dyDescent="0.35">
      <c r="B102" s="9">
        <f t="shared" si="30"/>
        <v>4</v>
      </c>
      <c r="C102" s="26" t="str">
        <f t="shared" si="30"/>
        <v>Option 2A</v>
      </c>
      <c r="D102" s="26" t="str">
        <f t="shared" si="33"/>
        <v>Lines</v>
      </c>
      <c r="E102" s="12" t="s">
        <v>35</v>
      </c>
      <c r="F102" s="18">
        <f t="shared" si="34"/>
        <v>122038700.91978344</v>
      </c>
      <c r="G102" s="17">
        <f>IFERROR(IF(G$58&gt;='CBA Inputs'!$H26,MAX('CBA Inputs'!$E26-'CBA Inputs'!$E26/'CBA Inputs'!$I26*(G$58-'CBA Inputs'!$H26+1),0),0)*IF(G$58=FirstYear+AnalysisPeriod-1,1,0),0)*CapitalCost_ACTIVE*G$55</f>
        <v>0</v>
      </c>
      <c r="H102" s="17">
        <f>IFERROR(IF(H$58&gt;='CBA Inputs'!$H26,MAX('CBA Inputs'!$E26-'CBA Inputs'!$E26/'CBA Inputs'!$I26*(H$58-'CBA Inputs'!$H26+1),0),0)*IF(H$58=FirstYear+AnalysisPeriod-1,1,0),0)*CapitalCost_ACTIVE*H$55</f>
        <v>0</v>
      </c>
      <c r="I102" s="17">
        <f>IFERROR(IF(I$58&gt;='CBA Inputs'!$H26,MAX('CBA Inputs'!$E26-'CBA Inputs'!$E26/'CBA Inputs'!$I26*(I$58-'CBA Inputs'!$H26+1),0),0)*IF(I$58=FirstYear+AnalysisPeriod-1,1,0),0)*CapitalCost_ACTIVE*I$55</f>
        <v>0</v>
      </c>
      <c r="J102" s="17">
        <f>IFERROR(IF(J$58&gt;='CBA Inputs'!$H26,MAX('CBA Inputs'!$E26-'CBA Inputs'!$E26/'CBA Inputs'!$I26*(J$58-'CBA Inputs'!$H26+1),0),0)*IF(J$58=FirstYear+AnalysisPeriod-1,1,0),0)*CapitalCost_ACTIVE*J$55</f>
        <v>0</v>
      </c>
      <c r="K102" s="17">
        <f>IFERROR(IF(K$58&gt;='CBA Inputs'!$H26,MAX('CBA Inputs'!$E26-'CBA Inputs'!$E26/'CBA Inputs'!$I26*(K$58-'CBA Inputs'!$H26+1),0),0)*IF(K$58=FirstYear+AnalysisPeriod-1,1,0),0)*CapitalCost_ACTIVE*K$55</f>
        <v>0</v>
      </c>
      <c r="L102" s="17">
        <f>IFERROR(IF(L$58&gt;='CBA Inputs'!$H26,MAX('CBA Inputs'!$E26-'CBA Inputs'!$E26/'CBA Inputs'!$I26*(L$58-'CBA Inputs'!$H26+1),0),0)*IF(L$58=FirstYear+AnalysisPeriod-1,1,0),0)*CapitalCost_ACTIVE*L$55</f>
        <v>0</v>
      </c>
      <c r="M102" s="17">
        <f>IFERROR(IF(M$58&gt;='CBA Inputs'!$H26,MAX('CBA Inputs'!$E26-'CBA Inputs'!$E26/'CBA Inputs'!$I26*(M$58-'CBA Inputs'!$H26+1),0),0)*IF(M$58=FirstYear+AnalysisPeriod-1,1,0),0)*CapitalCost_ACTIVE*M$55</f>
        <v>0</v>
      </c>
      <c r="N102" s="17">
        <f>IFERROR(IF(N$58&gt;='CBA Inputs'!$H26,MAX('CBA Inputs'!$E26-'CBA Inputs'!$E26/'CBA Inputs'!$I26*(N$58-'CBA Inputs'!$H26+1),0),0)*IF(N$58=FirstYear+AnalysisPeriod-1,1,0),0)*CapitalCost_ACTIVE*N$55</f>
        <v>0</v>
      </c>
      <c r="O102" s="17">
        <f>IFERROR(IF(O$58&gt;='CBA Inputs'!$H26,MAX('CBA Inputs'!$E26-'CBA Inputs'!$E26/'CBA Inputs'!$I26*(O$58-'CBA Inputs'!$H26+1),0),0)*IF(O$58=FirstYear+AnalysisPeriod-1,1,0),0)*CapitalCost_ACTIVE*O$55</f>
        <v>0</v>
      </c>
      <c r="P102" s="17">
        <f>IFERROR(IF(P$58&gt;='CBA Inputs'!$H26,MAX('CBA Inputs'!$E26-'CBA Inputs'!$E26/'CBA Inputs'!$I26*(P$58-'CBA Inputs'!$H26+1),0),0)*IF(P$58=FirstYear+AnalysisPeriod-1,1,0),0)*CapitalCost_ACTIVE*P$55</f>
        <v>0</v>
      </c>
      <c r="Q102" s="17">
        <f>IFERROR(IF(Q$58&gt;='CBA Inputs'!$H26,MAX('CBA Inputs'!$E26-'CBA Inputs'!$E26/'CBA Inputs'!$I26*(Q$58-'CBA Inputs'!$H26+1),0),0)*IF(Q$58=FirstYear+AnalysisPeriod-1,1,0),0)*CapitalCost_ACTIVE*Q$55</f>
        <v>0</v>
      </c>
      <c r="R102" s="17">
        <f>IFERROR(IF(R$58&gt;='CBA Inputs'!$H26,MAX('CBA Inputs'!$E26-'CBA Inputs'!$E26/'CBA Inputs'!$I26*(R$58-'CBA Inputs'!$H26+1),0),0)*IF(R$58=FirstYear+AnalysisPeriod-1,1,0),0)*CapitalCost_ACTIVE*R$55</f>
        <v>0</v>
      </c>
      <c r="S102" s="17">
        <f>IFERROR(IF(S$58&gt;='CBA Inputs'!$H26,MAX('CBA Inputs'!$E26-'CBA Inputs'!$E26/'CBA Inputs'!$I26*(S$58-'CBA Inputs'!$H26+1),0),0)*IF(S$58=FirstYear+AnalysisPeriod-1,1,0),0)*CapitalCost_ACTIVE*S$55</f>
        <v>0</v>
      </c>
      <c r="T102" s="17">
        <f>IFERROR(IF(T$58&gt;='CBA Inputs'!$H26,MAX('CBA Inputs'!$E26-'CBA Inputs'!$E26/'CBA Inputs'!$I26*(T$58-'CBA Inputs'!$H26+1),0),0)*IF(T$58=FirstYear+AnalysisPeriod-1,1,0),0)*CapitalCost_ACTIVE*T$55</f>
        <v>0</v>
      </c>
      <c r="U102" s="17">
        <f>IFERROR(IF(U$58&gt;='CBA Inputs'!$H26,MAX('CBA Inputs'!$E26-'CBA Inputs'!$E26/'CBA Inputs'!$I26*(U$58-'CBA Inputs'!$H26+1),0),0)*IF(U$58=FirstYear+AnalysisPeriod-1,1,0),0)*CapitalCost_ACTIVE*U$55</f>
        <v>0</v>
      </c>
      <c r="V102" s="17">
        <f>IFERROR(IF(V$58&gt;='CBA Inputs'!$H26,MAX('CBA Inputs'!$E26-'CBA Inputs'!$E26/'CBA Inputs'!$I26*(V$58-'CBA Inputs'!$H26+1),0),0)*IF(V$58=FirstYear+AnalysisPeriod-1,1,0),0)*CapitalCost_ACTIVE*V$55</f>
        <v>0</v>
      </c>
      <c r="W102" s="17">
        <f>IFERROR(IF(W$58&gt;='CBA Inputs'!$H26,MAX('CBA Inputs'!$E26-'CBA Inputs'!$E26/'CBA Inputs'!$I26*(W$58-'CBA Inputs'!$H26+1),0),0)*IF(W$58=FirstYear+AnalysisPeriod-1,1,0),0)*CapitalCost_ACTIVE*W$55</f>
        <v>0</v>
      </c>
      <c r="X102" s="17">
        <f>IFERROR(IF(X$58&gt;='CBA Inputs'!$H26,MAX('CBA Inputs'!$E26-'CBA Inputs'!$E26/'CBA Inputs'!$I26*(X$58-'CBA Inputs'!$H26+1),0),0)*IF(X$58=FirstYear+AnalysisPeriod-1,1,0),0)*CapitalCost_ACTIVE*X$55</f>
        <v>0</v>
      </c>
      <c r="Y102" s="17">
        <f>IFERROR(IF(Y$58&gt;='CBA Inputs'!$H26,MAX('CBA Inputs'!$E26-'CBA Inputs'!$E26/'CBA Inputs'!$I26*(Y$58-'CBA Inputs'!$H26+1),0),0)*IF(Y$58=FirstYear+AnalysisPeriod-1,1,0),0)*CapitalCost_ACTIVE*Y$55</f>
        <v>0</v>
      </c>
      <c r="Z102" s="17">
        <f>IFERROR(IF(Z$58&gt;='CBA Inputs'!$H26,MAX('CBA Inputs'!$E26-'CBA Inputs'!$E26/'CBA Inputs'!$I26*(Z$58-'CBA Inputs'!$H26+1),0),0)*IF(Z$58=FirstYear+AnalysisPeriod-1,1,0),0)*CapitalCost_ACTIVE*Z$55</f>
        <v>0</v>
      </c>
      <c r="AA102" s="17">
        <f>IFERROR(IF(AA$58&gt;='CBA Inputs'!$H26,MAX('CBA Inputs'!$E26-'CBA Inputs'!$E26/'CBA Inputs'!$I26*(AA$58-'CBA Inputs'!$H26+1),0),0)*IF(AA$58=FirstYear+AnalysisPeriod-1,1,0),0)*CapitalCost_ACTIVE*AA$55</f>
        <v>0</v>
      </c>
      <c r="AB102" s="17">
        <f>IFERROR(IF(AB$58&gt;='CBA Inputs'!$H26,MAX('CBA Inputs'!$E26-'CBA Inputs'!$E26/'CBA Inputs'!$I26*(AB$58-'CBA Inputs'!$H26+1),0),0)*IF(AB$58=FirstYear+AnalysisPeriod-1,1,0),0)*CapitalCost_ACTIVE*AB$55</f>
        <v>0</v>
      </c>
      <c r="AC102" s="17">
        <f>IFERROR(IF(AC$58&gt;='CBA Inputs'!$H26,MAX('CBA Inputs'!$E26-'CBA Inputs'!$E26/'CBA Inputs'!$I26*(AC$58-'CBA Inputs'!$H26+1),0),0)*IF(AC$58=FirstYear+AnalysisPeriod-1,1,0),0)*CapitalCost_ACTIVE*AC$55</f>
        <v>0</v>
      </c>
      <c r="AD102" s="17">
        <f>IFERROR(IF(AD$58&gt;='CBA Inputs'!$H26,MAX('CBA Inputs'!$E26-'CBA Inputs'!$E26/'CBA Inputs'!$I26*(AD$58-'CBA Inputs'!$H26+1),0),0)*IF(AD$58=FirstYear+AnalysisPeriod-1,1,0),0)*CapitalCost_ACTIVE*AD$55</f>
        <v>0</v>
      </c>
      <c r="AE102" s="17">
        <f>IFERROR(IF(AE$58&gt;='CBA Inputs'!$H26,MAX('CBA Inputs'!$E26-'CBA Inputs'!$E26/'CBA Inputs'!$I26*(AE$58-'CBA Inputs'!$H26+1),0),0)*IF(AE$58=FirstYear+AnalysisPeriod-1,1,0),0)*CapitalCost_ACTIVE*AE$55</f>
        <v>0</v>
      </c>
      <c r="AF102" s="17">
        <f>IFERROR(IF(AF$58&gt;='CBA Inputs'!$H26,MAX('CBA Inputs'!$E26-'CBA Inputs'!$E26/'CBA Inputs'!$I26*(AF$58-'CBA Inputs'!$H26+1),0),0)*IF(AF$58=FirstYear+AnalysisPeriod-1,1,0),0)*CapitalCost_ACTIVE*AF$55</f>
        <v>511560000</v>
      </c>
      <c r="AG102" s="17">
        <f>IFERROR(IF(AG$58&gt;='CBA Inputs'!$H26,MAX('CBA Inputs'!$E26-'CBA Inputs'!$E26/'CBA Inputs'!$I26*(AG$58-'CBA Inputs'!$H26+1),0),0)*IF(AG$58=FirstYear+AnalysisPeriod-1,1,0),0)*CapitalCost_ACTIVE*AG$55</f>
        <v>0</v>
      </c>
      <c r="AH102" s="17">
        <f>IFERROR(IF(AH$58&gt;='CBA Inputs'!$H26,MAX('CBA Inputs'!$E26-'CBA Inputs'!$E26/'CBA Inputs'!$I26*(AH$58-'CBA Inputs'!$H26+1),0),0)*IF(AH$58=FirstYear+AnalysisPeriod-1,1,0),0)*CapitalCost_ACTIVE*AH$55</f>
        <v>0</v>
      </c>
      <c r="AI102" s="17">
        <f>IFERROR(IF(AI$58&gt;='CBA Inputs'!$H26,MAX('CBA Inputs'!$E26-'CBA Inputs'!$E26/'CBA Inputs'!$I26*(AI$58-'CBA Inputs'!$H26+1),0),0)*IF(AI$58=FirstYear+AnalysisPeriod-1,1,0),0)*CapitalCost_ACTIVE*AI$55</f>
        <v>0</v>
      </c>
      <c r="AJ102" s="17">
        <f>IFERROR(IF(AJ$58&gt;='CBA Inputs'!$H26,MAX('CBA Inputs'!$E26-'CBA Inputs'!$E26/'CBA Inputs'!$I26*(AJ$58-'CBA Inputs'!$H26+1),0),0)*IF(AJ$58=FirstYear+AnalysisPeriod-1,1,0),0)*CapitalCost_ACTIVE*AJ$55</f>
        <v>0</v>
      </c>
      <c r="AM102" s="9">
        <f t="shared" si="35"/>
        <v>5</v>
      </c>
      <c r="AN102" s="26" t="str">
        <f t="shared" si="35"/>
        <v>Option 2B</v>
      </c>
      <c r="AO102" s="26" t="str">
        <f t="shared" si="35"/>
        <v>Substation</v>
      </c>
      <c r="AP102" s="12" t="s">
        <v>35</v>
      </c>
      <c r="AQ102" s="18">
        <f t="shared" si="36"/>
        <v>0</v>
      </c>
      <c r="AR102" s="17">
        <f>IFERROR(IF(G$58&gt;='CBA Inputs'!$R26,MAX('CBA Inputs'!$O26-'CBA Inputs'!$O26/'CBA Inputs'!$S26*(G$58-'CBA Inputs'!$R26+1),0),0)*IF(G$58=FirstYear+AnalysisPeriod-1,1,0),0)*CapitalCost_ACTIVE*G$55*IF(Scenario_Select='CBA Inputs'!$T26,1,0)</f>
        <v>0</v>
      </c>
      <c r="AS102" s="17">
        <f>IFERROR(IF(H$58&gt;='CBA Inputs'!$R26,MAX('CBA Inputs'!$O26-'CBA Inputs'!$O26/'CBA Inputs'!$S26*(H$58-'CBA Inputs'!$R26+1),0),0)*IF(H$58=FirstYear+AnalysisPeriod-1,1,0),0)*CapitalCost_ACTIVE*H$55*IF(Scenario_Select='CBA Inputs'!$T26,1,0)</f>
        <v>0</v>
      </c>
      <c r="AT102" s="17">
        <f>IFERROR(IF(I$58&gt;='CBA Inputs'!$R26,MAX('CBA Inputs'!$O26-'CBA Inputs'!$O26/'CBA Inputs'!$S26*(I$58-'CBA Inputs'!$R26+1),0),0)*IF(I$58=FirstYear+AnalysisPeriod-1,1,0),0)*CapitalCost_ACTIVE*I$55*IF(Scenario_Select='CBA Inputs'!$T26,1,0)</f>
        <v>0</v>
      </c>
      <c r="AU102" s="17">
        <f>IFERROR(IF(J$58&gt;='CBA Inputs'!$R26,MAX('CBA Inputs'!$O26-'CBA Inputs'!$O26/'CBA Inputs'!$S26*(J$58-'CBA Inputs'!$R26+1),0),0)*IF(J$58=FirstYear+AnalysisPeriod-1,1,0),0)*CapitalCost_ACTIVE*J$55*IF(Scenario_Select='CBA Inputs'!$T26,1,0)</f>
        <v>0</v>
      </c>
      <c r="AV102" s="17">
        <f>IFERROR(IF(K$58&gt;='CBA Inputs'!$R26,MAX('CBA Inputs'!$O26-'CBA Inputs'!$O26/'CBA Inputs'!$S26*(K$58-'CBA Inputs'!$R26+1),0),0)*IF(K$58=FirstYear+AnalysisPeriod-1,1,0),0)*CapitalCost_ACTIVE*K$55*IF(Scenario_Select='CBA Inputs'!$T26,1,0)</f>
        <v>0</v>
      </c>
      <c r="AW102" s="17">
        <f>IFERROR(IF(L$58&gt;='CBA Inputs'!$R26,MAX('CBA Inputs'!$O26-'CBA Inputs'!$O26/'CBA Inputs'!$S26*(L$58-'CBA Inputs'!$R26+1),0),0)*IF(L$58=FirstYear+AnalysisPeriod-1,1,0),0)*CapitalCost_ACTIVE*L$55*IF(Scenario_Select='CBA Inputs'!$T26,1,0)</f>
        <v>0</v>
      </c>
      <c r="AX102" s="17">
        <f>IFERROR(IF(M$58&gt;='CBA Inputs'!$R26,MAX('CBA Inputs'!$O26-'CBA Inputs'!$O26/'CBA Inputs'!$S26*(M$58-'CBA Inputs'!$R26+1),0),0)*IF(M$58=FirstYear+AnalysisPeriod-1,1,0),0)*CapitalCost_ACTIVE*M$55*IF(Scenario_Select='CBA Inputs'!$T26,1,0)</f>
        <v>0</v>
      </c>
      <c r="AY102" s="17">
        <f>IFERROR(IF(N$58&gt;='CBA Inputs'!$R26,MAX('CBA Inputs'!$O26-'CBA Inputs'!$O26/'CBA Inputs'!$S26*(N$58-'CBA Inputs'!$R26+1),0),0)*IF(N$58=FirstYear+AnalysisPeriod-1,1,0),0)*CapitalCost_ACTIVE*N$55*IF(Scenario_Select='CBA Inputs'!$T26,1,0)</f>
        <v>0</v>
      </c>
      <c r="AZ102" s="17">
        <f>IFERROR(IF(O$58&gt;='CBA Inputs'!$R26,MAX('CBA Inputs'!$O26-'CBA Inputs'!$O26/'CBA Inputs'!$S26*(O$58-'CBA Inputs'!$R26+1),0),0)*IF(O$58=FirstYear+AnalysisPeriod-1,1,0),0)*CapitalCost_ACTIVE*O$55*IF(Scenario_Select='CBA Inputs'!$T26,1,0)</f>
        <v>0</v>
      </c>
      <c r="BA102" s="17">
        <f>IFERROR(IF(P$58&gt;='CBA Inputs'!$R26,MAX('CBA Inputs'!$O26-'CBA Inputs'!$O26/'CBA Inputs'!$S26*(P$58-'CBA Inputs'!$R26+1),0),0)*IF(P$58=FirstYear+AnalysisPeriod-1,1,0),0)*CapitalCost_ACTIVE*P$55*IF(Scenario_Select='CBA Inputs'!$T26,1,0)</f>
        <v>0</v>
      </c>
      <c r="BB102" s="17">
        <f>IFERROR(IF(Q$58&gt;='CBA Inputs'!$R26,MAX('CBA Inputs'!$O26-'CBA Inputs'!$O26/'CBA Inputs'!$S26*(Q$58-'CBA Inputs'!$R26+1),0),0)*IF(Q$58=FirstYear+AnalysisPeriod-1,1,0),0)*CapitalCost_ACTIVE*Q$55*IF(Scenario_Select='CBA Inputs'!$T26,1,0)</f>
        <v>0</v>
      </c>
      <c r="BC102" s="17">
        <f>IFERROR(IF(R$58&gt;='CBA Inputs'!$R26,MAX('CBA Inputs'!$O26-'CBA Inputs'!$O26/'CBA Inputs'!$S26*(R$58-'CBA Inputs'!$R26+1),0),0)*IF(R$58=FirstYear+AnalysisPeriod-1,1,0),0)*CapitalCost_ACTIVE*R$55*IF(Scenario_Select='CBA Inputs'!$T26,1,0)</f>
        <v>0</v>
      </c>
      <c r="BD102" s="17">
        <f>IFERROR(IF(S$58&gt;='CBA Inputs'!$R26,MAX('CBA Inputs'!$O26-'CBA Inputs'!$O26/'CBA Inputs'!$S26*(S$58-'CBA Inputs'!$R26+1),0),0)*IF(S$58=FirstYear+AnalysisPeriod-1,1,0),0)*CapitalCost_ACTIVE*S$55*IF(Scenario_Select='CBA Inputs'!$T26,1,0)</f>
        <v>0</v>
      </c>
      <c r="BE102" s="17">
        <f>IFERROR(IF(T$58&gt;='CBA Inputs'!$R26,MAX('CBA Inputs'!$O26-'CBA Inputs'!$O26/'CBA Inputs'!$S26*(T$58-'CBA Inputs'!$R26+1),0),0)*IF(T$58=FirstYear+AnalysisPeriod-1,1,0),0)*CapitalCost_ACTIVE*T$55*IF(Scenario_Select='CBA Inputs'!$T26,1,0)</f>
        <v>0</v>
      </c>
      <c r="BF102" s="17">
        <f>IFERROR(IF(U$58&gt;='CBA Inputs'!$R26,MAX('CBA Inputs'!$O26-'CBA Inputs'!$O26/'CBA Inputs'!$S26*(U$58-'CBA Inputs'!$R26+1),0),0)*IF(U$58=FirstYear+AnalysisPeriod-1,1,0),0)*CapitalCost_ACTIVE*U$55*IF(Scenario_Select='CBA Inputs'!$T26,1,0)</f>
        <v>0</v>
      </c>
      <c r="BG102" s="17">
        <f>IFERROR(IF(V$58&gt;='CBA Inputs'!$R26,MAX('CBA Inputs'!$O26-'CBA Inputs'!$O26/'CBA Inputs'!$S26*(V$58-'CBA Inputs'!$R26+1),0),0)*IF(V$58=FirstYear+AnalysisPeriod-1,1,0),0)*CapitalCost_ACTIVE*V$55*IF(Scenario_Select='CBA Inputs'!$T26,1,0)</f>
        <v>0</v>
      </c>
      <c r="BH102" s="17">
        <f>IFERROR(IF(W$58&gt;='CBA Inputs'!$R26,MAX('CBA Inputs'!$O26-'CBA Inputs'!$O26/'CBA Inputs'!$S26*(W$58-'CBA Inputs'!$R26+1),0),0)*IF(W$58=FirstYear+AnalysisPeriod-1,1,0),0)*CapitalCost_ACTIVE*W$55*IF(Scenario_Select='CBA Inputs'!$T26,1,0)</f>
        <v>0</v>
      </c>
      <c r="BI102" s="17">
        <f>IFERROR(IF(X$58&gt;='CBA Inputs'!$R26,MAX('CBA Inputs'!$O26-'CBA Inputs'!$O26/'CBA Inputs'!$S26*(X$58-'CBA Inputs'!$R26+1),0),0)*IF(X$58=FirstYear+AnalysisPeriod-1,1,0),0)*CapitalCost_ACTIVE*X$55*IF(Scenario_Select='CBA Inputs'!$T26,1,0)</f>
        <v>0</v>
      </c>
      <c r="BJ102" s="17">
        <f>IFERROR(IF(Y$58&gt;='CBA Inputs'!$R26,MAX('CBA Inputs'!$O26-'CBA Inputs'!$O26/'CBA Inputs'!$S26*(Y$58-'CBA Inputs'!$R26+1),0),0)*IF(Y$58=FirstYear+AnalysisPeriod-1,1,0),0)*CapitalCost_ACTIVE*Y$55*IF(Scenario_Select='CBA Inputs'!$T26,1,0)</f>
        <v>0</v>
      </c>
      <c r="BK102" s="17">
        <f>IFERROR(IF(Z$58&gt;='CBA Inputs'!$R26,MAX('CBA Inputs'!$O26-'CBA Inputs'!$O26/'CBA Inputs'!$S26*(Z$58-'CBA Inputs'!$R26+1),0),0)*IF(Z$58=FirstYear+AnalysisPeriod-1,1,0),0)*CapitalCost_ACTIVE*Z$55*IF(Scenario_Select='CBA Inputs'!$T26,1,0)</f>
        <v>0</v>
      </c>
      <c r="BL102" s="17">
        <f>IFERROR(IF(AA$58&gt;='CBA Inputs'!$R26,MAX('CBA Inputs'!$O26-'CBA Inputs'!$O26/'CBA Inputs'!$S26*(AA$58-'CBA Inputs'!$R26+1),0),0)*IF(AA$58=FirstYear+AnalysisPeriod-1,1,0),0)*CapitalCost_ACTIVE*AA$55*IF(Scenario_Select='CBA Inputs'!$T26,1,0)</f>
        <v>0</v>
      </c>
      <c r="BM102" s="17">
        <f>IFERROR(IF(AB$58&gt;='CBA Inputs'!$R26,MAX('CBA Inputs'!$O26-'CBA Inputs'!$O26/'CBA Inputs'!$S26*(AB$58-'CBA Inputs'!$R26+1),0),0)*IF(AB$58=FirstYear+AnalysisPeriod-1,1,0),0)*CapitalCost_ACTIVE*AB$55*IF(Scenario_Select='CBA Inputs'!$T26,1,0)</f>
        <v>0</v>
      </c>
      <c r="BN102" s="17">
        <f>IFERROR(IF(AC$58&gt;='CBA Inputs'!$R26,MAX('CBA Inputs'!$O26-'CBA Inputs'!$O26/'CBA Inputs'!$S26*(AC$58-'CBA Inputs'!$R26+1),0),0)*IF(AC$58=FirstYear+AnalysisPeriod-1,1,0),0)*CapitalCost_ACTIVE*AC$55*IF(Scenario_Select='CBA Inputs'!$T26,1,0)</f>
        <v>0</v>
      </c>
      <c r="BO102" s="17">
        <f>IFERROR(IF(AD$58&gt;='CBA Inputs'!$R26,MAX('CBA Inputs'!$O26-'CBA Inputs'!$O26/'CBA Inputs'!$S26*(AD$58-'CBA Inputs'!$R26+1),0),0)*IF(AD$58=FirstYear+AnalysisPeriod-1,1,0),0)*CapitalCost_ACTIVE*AD$55*IF(Scenario_Select='CBA Inputs'!$T26,1,0)</f>
        <v>0</v>
      </c>
      <c r="BP102" s="17">
        <f>IFERROR(IF(AE$58&gt;='CBA Inputs'!$R26,MAX('CBA Inputs'!$O26-'CBA Inputs'!$O26/'CBA Inputs'!$S26*(AE$58-'CBA Inputs'!$R26+1),0),0)*IF(AE$58=FirstYear+AnalysisPeriod-1,1,0),0)*CapitalCost_ACTIVE*AE$55*IF(Scenario_Select='CBA Inputs'!$T26,1,0)</f>
        <v>0</v>
      </c>
      <c r="BQ102" s="17">
        <f>IFERROR(IF(AF$58&gt;='CBA Inputs'!$R26,MAX('CBA Inputs'!$O26-'CBA Inputs'!$O26/'CBA Inputs'!$S26*(AF$58-'CBA Inputs'!$R26+1),0),0)*IF(AF$58=FirstYear+AnalysisPeriod-1,1,0),0)*CapitalCost_ACTIVE*AF$55*IF(Scenario_Select='CBA Inputs'!$T26,1,0)</f>
        <v>0</v>
      </c>
      <c r="BR102" s="17">
        <f>IFERROR(IF(AG$58&gt;='CBA Inputs'!$R26,MAX('CBA Inputs'!$O26-'CBA Inputs'!$O26/'CBA Inputs'!$S26*(AG$58-'CBA Inputs'!$R26+1),0),0)*IF(AG$58=FirstYear+AnalysisPeriod-1,1,0),0)*CapitalCost_ACTIVE*AG$55*IF(Scenario_Select='CBA Inputs'!$T26,1,0)</f>
        <v>0</v>
      </c>
      <c r="BS102" s="17">
        <f>IFERROR(IF(AH$58&gt;='CBA Inputs'!$R26,MAX('CBA Inputs'!$O26-'CBA Inputs'!$O26/'CBA Inputs'!$S26*(AH$58-'CBA Inputs'!$R26+1),0),0)*IF(AH$58=FirstYear+AnalysisPeriod-1,1,0),0)*CapitalCost_ACTIVE*AH$55*IF(Scenario_Select='CBA Inputs'!$T26,1,0)</f>
        <v>0</v>
      </c>
      <c r="BT102" s="17">
        <f>IFERROR(IF(AI$58&gt;='CBA Inputs'!$R26,MAX('CBA Inputs'!$O26-'CBA Inputs'!$O26/'CBA Inputs'!$S26*(AI$58-'CBA Inputs'!$R26+1),0),0)*IF(AI$58=FirstYear+AnalysisPeriod-1,1,0),0)*CapitalCost_ACTIVE*AI$55*IF(Scenario_Select='CBA Inputs'!$T26,1,0)</f>
        <v>0</v>
      </c>
      <c r="BU102" s="17">
        <f>IFERROR(IF(AJ$58&gt;='CBA Inputs'!$R26,MAX('CBA Inputs'!$O26-'CBA Inputs'!$O26/'CBA Inputs'!$S26*(AJ$58-'CBA Inputs'!$R26+1),0),0)*IF(AJ$58=FirstYear+AnalysisPeriod-1,1,0),0)*CapitalCost_ACTIVE*AJ$55*IF(Scenario_Select='CBA Inputs'!$T26,1,0)</f>
        <v>0</v>
      </c>
    </row>
    <row r="103" spans="1:73" x14ac:dyDescent="0.35">
      <c r="B103" s="9">
        <f t="shared" si="30"/>
        <v>4</v>
      </c>
      <c r="C103" s="26" t="str">
        <f t="shared" si="30"/>
        <v>Option 2A</v>
      </c>
      <c r="D103" s="26" t="str">
        <f t="shared" si="33"/>
        <v>Substation</v>
      </c>
      <c r="E103" s="12" t="s">
        <v>35</v>
      </c>
      <c r="F103" s="18">
        <f t="shared" si="34"/>
        <v>41134027.300988466</v>
      </c>
      <c r="G103" s="17">
        <f>IFERROR(IF(G$58&gt;='CBA Inputs'!$H27,MAX('CBA Inputs'!$E27-'CBA Inputs'!$E27/'CBA Inputs'!$I27*(G$58-'CBA Inputs'!$H27+1),0),0)*IF(G$58=FirstYear+AnalysisPeriod-1,1,0),0)*CapitalCost_ACTIVE*G$55</f>
        <v>0</v>
      </c>
      <c r="H103" s="17">
        <f>IFERROR(IF(H$58&gt;='CBA Inputs'!$H27,MAX('CBA Inputs'!$E27-'CBA Inputs'!$E27/'CBA Inputs'!$I27*(H$58-'CBA Inputs'!$H27+1),0),0)*IF(H$58=FirstYear+AnalysisPeriod-1,1,0),0)*CapitalCost_ACTIVE*H$55</f>
        <v>0</v>
      </c>
      <c r="I103" s="17">
        <f>IFERROR(IF(I$58&gt;='CBA Inputs'!$H27,MAX('CBA Inputs'!$E27-'CBA Inputs'!$E27/'CBA Inputs'!$I27*(I$58-'CBA Inputs'!$H27+1),0),0)*IF(I$58=FirstYear+AnalysisPeriod-1,1,0),0)*CapitalCost_ACTIVE*I$55</f>
        <v>0</v>
      </c>
      <c r="J103" s="17">
        <f>IFERROR(IF(J$58&gt;='CBA Inputs'!$H27,MAX('CBA Inputs'!$E27-'CBA Inputs'!$E27/'CBA Inputs'!$I27*(J$58-'CBA Inputs'!$H27+1),0),0)*IF(J$58=FirstYear+AnalysisPeriod-1,1,0),0)*CapitalCost_ACTIVE*J$55</f>
        <v>0</v>
      </c>
      <c r="K103" s="17">
        <f>IFERROR(IF(K$58&gt;='CBA Inputs'!$H27,MAX('CBA Inputs'!$E27-'CBA Inputs'!$E27/'CBA Inputs'!$I27*(K$58-'CBA Inputs'!$H27+1),0),0)*IF(K$58=FirstYear+AnalysisPeriod-1,1,0),0)*CapitalCost_ACTIVE*K$55</f>
        <v>0</v>
      </c>
      <c r="L103" s="17">
        <f>IFERROR(IF(L$58&gt;='CBA Inputs'!$H27,MAX('CBA Inputs'!$E27-'CBA Inputs'!$E27/'CBA Inputs'!$I27*(L$58-'CBA Inputs'!$H27+1),0),0)*IF(L$58=FirstYear+AnalysisPeriod-1,1,0),0)*CapitalCost_ACTIVE*L$55</f>
        <v>0</v>
      </c>
      <c r="M103" s="17">
        <f>IFERROR(IF(M$58&gt;='CBA Inputs'!$H27,MAX('CBA Inputs'!$E27-'CBA Inputs'!$E27/'CBA Inputs'!$I27*(M$58-'CBA Inputs'!$H27+1),0),0)*IF(M$58=FirstYear+AnalysisPeriod-1,1,0),0)*CapitalCost_ACTIVE*M$55</f>
        <v>0</v>
      </c>
      <c r="N103" s="17">
        <f>IFERROR(IF(N$58&gt;='CBA Inputs'!$H27,MAX('CBA Inputs'!$E27-'CBA Inputs'!$E27/'CBA Inputs'!$I27*(N$58-'CBA Inputs'!$H27+1),0),0)*IF(N$58=FirstYear+AnalysisPeriod-1,1,0),0)*CapitalCost_ACTIVE*N$55</f>
        <v>0</v>
      </c>
      <c r="O103" s="17">
        <f>IFERROR(IF(O$58&gt;='CBA Inputs'!$H27,MAX('CBA Inputs'!$E27-'CBA Inputs'!$E27/'CBA Inputs'!$I27*(O$58-'CBA Inputs'!$H27+1),0),0)*IF(O$58=FirstYear+AnalysisPeriod-1,1,0),0)*CapitalCost_ACTIVE*O$55</f>
        <v>0</v>
      </c>
      <c r="P103" s="17">
        <f>IFERROR(IF(P$58&gt;='CBA Inputs'!$H27,MAX('CBA Inputs'!$E27-'CBA Inputs'!$E27/'CBA Inputs'!$I27*(P$58-'CBA Inputs'!$H27+1),0),0)*IF(P$58=FirstYear+AnalysisPeriod-1,1,0),0)*CapitalCost_ACTIVE*P$55</f>
        <v>0</v>
      </c>
      <c r="Q103" s="17">
        <f>IFERROR(IF(Q$58&gt;='CBA Inputs'!$H27,MAX('CBA Inputs'!$E27-'CBA Inputs'!$E27/'CBA Inputs'!$I27*(Q$58-'CBA Inputs'!$H27+1),0),0)*IF(Q$58=FirstYear+AnalysisPeriod-1,1,0),0)*CapitalCost_ACTIVE*Q$55</f>
        <v>0</v>
      </c>
      <c r="R103" s="17">
        <f>IFERROR(IF(R$58&gt;='CBA Inputs'!$H27,MAX('CBA Inputs'!$E27-'CBA Inputs'!$E27/'CBA Inputs'!$I27*(R$58-'CBA Inputs'!$H27+1),0),0)*IF(R$58=FirstYear+AnalysisPeriod-1,1,0),0)*CapitalCost_ACTIVE*R$55</f>
        <v>0</v>
      </c>
      <c r="S103" s="17">
        <f>IFERROR(IF(S$58&gt;='CBA Inputs'!$H27,MAX('CBA Inputs'!$E27-'CBA Inputs'!$E27/'CBA Inputs'!$I27*(S$58-'CBA Inputs'!$H27+1),0),0)*IF(S$58=FirstYear+AnalysisPeriod-1,1,0),0)*CapitalCost_ACTIVE*S$55</f>
        <v>0</v>
      </c>
      <c r="T103" s="17">
        <f>IFERROR(IF(T$58&gt;='CBA Inputs'!$H27,MAX('CBA Inputs'!$E27-'CBA Inputs'!$E27/'CBA Inputs'!$I27*(T$58-'CBA Inputs'!$H27+1),0),0)*IF(T$58=FirstYear+AnalysisPeriod-1,1,0),0)*CapitalCost_ACTIVE*T$55</f>
        <v>0</v>
      </c>
      <c r="U103" s="17">
        <f>IFERROR(IF(U$58&gt;='CBA Inputs'!$H27,MAX('CBA Inputs'!$E27-'CBA Inputs'!$E27/'CBA Inputs'!$I27*(U$58-'CBA Inputs'!$H27+1),0),0)*IF(U$58=FirstYear+AnalysisPeriod-1,1,0),0)*CapitalCost_ACTIVE*U$55</f>
        <v>0</v>
      </c>
      <c r="V103" s="17">
        <f>IFERROR(IF(V$58&gt;='CBA Inputs'!$H27,MAX('CBA Inputs'!$E27-'CBA Inputs'!$E27/'CBA Inputs'!$I27*(V$58-'CBA Inputs'!$H27+1),0),0)*IF(V$58=FirstYear+AnalysisPeriod-1,1,0),0)*CapitalCost_ACTIVE*V$55</f>
        <v>0</v>
      </c>
      <c r="W103" s="17">
        <f>IFERROR(IF(W$58&gt;='CBA Inputs'!$H27,MAX('CBA Inputs'!$E27-'CBA Inputs'!$E27/'CBA Inputs'!$I27*(W$58-'CBA Inputs'!$H27+1),0),0)*IF(W$58=FirstYear+AnalysisPeriod-1,1,0),0)*CapitalCost_ACTIVE*W$55</f>
        <v>0</v>
      </c>
      <c r="X103" s="17">
        <f>IFERROR(IF(X$58&gt;='CBA Inputs'!$H27,MAX('CBA Inputs'!$E27-'CBA Inputs'!$E27/'CBA Inputs'!$I27*(X$58-'CBA Inputs'!$H27+1),0),0)*IF(X$58=FirstYear+AnalysisPeriod-1,1,0),0)*CapitalCost_ACTIVE*X$55</f>
        <v>0</v>
      </c>
      <c r="Y103" s="17">
        <f>IFERROR(IF(Y$58&gt;='CBA Inputs'!$H27,MAX('CBA Inputs'!$E27-'CBA Inputs'!$E27/'CBA Inputs'!$I27*(Y$58-'CBA Inputs'!$H27+1),0),0)*IF(Y$58=FirstYear+AnalysisPeriod-1,1,0),0)*CapitalCost_ACTIVE*Y$55</f>
        <v>0</v>
      </c>
      <c r="Z103" s="17">
        <f>IFERROR(IF(Z$58&gt;='CBA Inputs'!$H27,MAX('CBA Inputs'!$E27-'CBA Inputs'!$E27/'CBA Inputs'!$I27*(Z$58-'CBA Inputs'!$H27+1),0),0)*IF(Z$58=FirstYear+AnalysisPeriod-1,1,0),0)*CapitalCost_ACTIVE*Z$55</f>
        <v>0</v>
      </c>
      <c r="AA103" s="17">
        <f>IFERROR(IF(AA$58&gt;='CBA Inputs'!$H27,MAX('CBA Inputs'!$E27-'CBA Inputs'!$E27/'CBA Inputs'!$I27*(AA$58-'CBA Inputs'!$H27+1),0),0)*IF(AA$58=FirstYear+AnalysisPeriod-1,1,0),0)*CapitalCost_ACTIVE*AA$55</f>
        <v>0</v>
      </c>
      <c r="AB103" s="17">
        <f>IFERROR(IF(AB$58&gt;='CBA Inputs'!$H27,MAX('CBA Inputs'!$E27-'CBA Inputs'!$E27/'CBA Inputs'!$I27*(AB$58-'CBA Inputs'!$H27+1),0),0)*IF(AB$58=FirstYear+AnalysisPeriod-1,1,0),0)*CapitalCost_ACTIVE*AB$55</f>
        <v>0</v>
      </c>
      <c r="AC103" s="17">
        <f>IFERROR(IF(AC$58&gt;='CBA Inputs'!$H27,MAX('CBA Inputs'!$E27-'CBA Inputs'!$E27/'CBA Inputs'!$I27*(AC$58-'CBA Inputs'!$H27+1),0),0)*IF(AC$58=FirstYear+AnalysisPeriod-1,1,0),0)*CapitalCost_ACTIVE*AC$55</f>
        <v>0</v>
      </c>
      <c r="AD103" s="17">
        <f>IFERROR(IF(AD$58&gt;='CBA Inputs'!$H27,MAX('CBA Inputs'!$E27-'CBA Inputs'!$E27/'CBA Inputs'!$I27*(AD$58-'CBA Inputs'!$H27+1),0),0)*IF(AD$58=FirstYear+AnalysisPeriod-1,1,0),0)*CapitalCost_ACTIVE*AD$55</f>
        <v>0</v>
      </c>
      <c r="AE103" s="17">
        <f>IFERROR(IF(AE$58&gt;='CBA Inputs'!$H27,MAX('CBA Inputs'!$E27-'CBA Inputs'!$E27/'CBA Inputs'!$I27*(AE$58-'CBA Inputs'!$H27+1),0),0)*IF(AE$58=FirstYear+AnalysisPeriod-1,1,0),0)*CapitalCost_ACTIVE*AE$55</f>
        <v>0</v>
      </c>
      <c r="AF103" s="17">
        <f>IFERROR(IF(AF$58&gt;='CBA Inputs'!$H27,MAX('CBA Inputs'!$E27-'CBA Inputs'!$E27/'CBA Inputs'!$I27*(AF$58-'CBA Inputs'!$H27+1),0),0)*IF(AF$58=FirstYear+AnalysisPeriod-1,1,0),0)*CapitalCost_ACTIVE*AF$55</f>
        <v>172425000</v>
      </c>
      <c r="AG103" s="17">
        <f>IFERROR(IF(AG$58&gt;='CBA Inputs'!$H27,MAX('CBA Inputs'!$E27-'CBA Inputs'!$E27/'CBA Inputs'!$I27*(AG$58-'CBA Inputs'!$H27+1),0),0)*IF(AG$58=FirstYear+AnalysisPeriod-1,1,0),0)*CapitalCost_ACTIVE*AG$55</f>
        <v>0</v>
      </c>
      <c r="AH103" s="17">
        <f>IFERROR(IF(AH$58&gt;='CBA Inputs'!$H27,MAX('CBA Inputs'!$E27-'CBA Inputs'!$E27/'CBA Inputs'!$I27*(AH$58-'CBA Inputs'!$H27+1),0),0)*IF(AH$58=FirstYear+AnalysisPeriod-1,1,0),0)*CapitalCost_ACTIVE*AH$55</f>
        <v>0</v>
      </c>
      <c r="AI103" s="17">
        <f>IFERROR(IF(AI$58&gt;='CBA Inputs'!$H27,MAX('CBA Inputs'!$E27-'CBA Inputs'!$E27/'CBA Inputs'!$I27*(AI$58-'CBA Inputs'!$H27+1),0),0)*IF(AI$58=FirstYear+AnalysisPeriod-1,1,0),0)*CapitalCost_ACTIVE*AI$55</f>
        <v>0</v>
      </c>
      <c r="AJ103" s="17">
        <f>IFERROR(IF(AJ$58&gt;='CBA Inputs'!$H27,MAX('CBA Inputs'!$E27-'CBA Inputs'!$E27/'CBA Inputs'!$I27*(AJ$58-'CBA Inputs'!$H27+1),0),0)*IF(AJ$58=FirstYear+AnalysisPeriod-1,1,0),0)*CapitalCost_ACTIVE*AJ$55</f>
        <v>0</v>
      </c>
      <c r="AM103" s="9">
        <f t="shared" si="35"/>
        <v>5</v>
      </c>
      <c r="AN103" s="26" t="str">
        <f t="shared" si="35"/>
        <v>Option 2B</v>
      </c>
      <c r="AO103" s="26" t="str">
        <f t="shared" si="35"/>
        <v>Substation</v>
      </c>
      <c r="AP103" s="12" t="s">
        <v>35</v>
      </c>
      <c r="AQ103" s="18">
        <f t="shared" si="36"/>
        <v>0</v>
      </c>
      <c r="AR103" s="17">
        <f>IFERROR(IF(G$58&gt;='CBA Inputs'!$R27,MAX('CBA Inputs'!$O27-'CBA Inputs'!$O27/'CBA Inputs'!$S27*(G$58-'CBA Inputs'!$R27+1),0),0)*IF(G$58=FirstYear+AnalysisPeriod-1,1,0),0)*CapitalCost_ACTIVE*G$55*IF(Scenario_Select='CBA Inputs'!$T27,1,0)</f>
        <v>0</v>
      </c>
      <c r="AS103" s="17">
        <f>IFERROR(IF(H$58&gt;='CBA Inputs'!$R27,MAX('CBA Inputs'!$O27-'CBA Inputs'!$O27/'CBA Inputs'!$S27*(H$58-'CBA Inputs'!$R27+1),0),0)*IF(H$58=FirstYear+AnalysisPeriod-1,1,0),0)*CapitalCost_ACTIVE*H$55*IF(Scenario_Select='CBA Inputs'!$T27,1,0)</f>
        <v>0</v>
      </c>
      <c r="AT103" s="17">
        <f>IFERROR(IF(I$58&gt;='CBA Inputs'!$R27,MAX('CBA Inputs'!$O27-'CBA Inputs'!$O27/'CBA Inputs'!$S27*(I$58-'CBA Inputs'!$R27+1),0),0)*IF(I$58=FirstYear+AnalysisPeriod-1,1,0),0)*CapitalCost_ACTIVE*I$55*IF(Scenario_Select='CBA Inputs'!$T27,1,0)</f>
        <v>0</v>
      </c>
      <c r="AU103" s="17">
        <f>IFERROR(IF(J$58&gt;='CBA Inputs'!$R27,MAX('CBA Inputs'!$O27-'CBA Inputs'!$O27/'CBA Inputs'!$S27*(J$58-'CBA Inputs'!$R27+1),0),0)*IF(J$58=FirstYear+AnalysisPeriod-1,1,0),0)*CapitalCost_ACTIVE*J$55*IF(Scenario_Select='CBA Inputs'!$T27,1,0)</f>
        <v>0</v>
      </c>
      <c r="AV103" s="17">
        <f>IFERROR(IF(K$58&gt;='CBA Inputs'!$R27,MAX('CBA Inputs'!$O27-'CBA Inputs'!$O27/'CBA Inputs'!$S27*(K$58-'CBA Inputs'!$R27+1),0),0)*IF(K$58=FirstYear+AnalysisPeriod-1,1,0),0)*CapitalCost_ACTIVE*K$55*IF(Scenario_Select='CBA Inputs'!$T27,1,0)</f>
        <v>0</v>
      </c>
      <c r="AW103" s="17">
        <f>IFERROR(IF(L$58&gt;='CBA Inputs'!$R27,MAX('CBA Inputs'!$O27-'CBA Inputs'!$O27/'CBA Inputs'!$S27*(L$58-'CBA Inputs'!$R27+1),0),0)*IF(L$58=FirstYear+AnalysisPeriod-1,1,0),0)*CapitalCost_ACTIVE*L$55*IF(Scenario_Select='CBA Inputs'!$T27,1,0)</f>
        <v>0</v>
      </c>
      <c r="AX103" s="17">
        <f>IFERROR(IF(M$58&gt;='CBA Inputs'!$R27,MAX('CBA Inputs'!$O27-'CBA Inputs'!$O27/'CBA Inputs'!$S27*(M$58-'CBA Inputs'!$R27+1),0),0)*IF(M$58=FirstYear+AnalysisPeriod-1,1,0),0)*CapitalCost_ACTIVE*M$55*IF(Scenario_Select='CBA Inputs'!$T27,1,0)</f>
        <v>0</v>
      </c>
      <c r="AY103" s="17">
        <f>IFERROR(IF(N$58&gt;='CBA Inputs'!$R27,MAX('CBA Inputs'!$O27-'CBA Inputs'!$O27/'CBA Inputs'!$S27*(N$58-'CBA Inputs'!$R27+1),0),0)*IF(N$58=FirstYear+AnalysisPeriod-1,1,0),0)*CapitalCost_ACTIVE*N$55*IF(Scenario_Select='CBA Inputs'!$T27,1,0)</f>
        <v>0</v>
      </c>
      <c r="AZ103" s="17">
        <f>IFERROR(IF(O$58&gt;='CBA Inputs'!$R27,MAX('CBA Inputs'!$O27-'CBA Inputs'!$O27/'CBA Inputs'!$S27*(O$58-'CBA Inputs'!$R27+1),0),0)*IF(O$58=FirstYear+AnalysisPeriod-1,1,0),0)*CapitalCost_ACTIVE*O$55*IF(Scenario_Select='CBA Inputs'!$T27,1,0)</f>
        <v>0</v>
      </c>
      <c r="BA103" s="17">
        <f>IFERROR(IF(P$58&gt;='CBA Inputs'!$R27,MAX('CBA Inputs'!$O27-'CBA Inputs'!$O27/'CBA Inputs'!$S27*(P$58-'CBA Inputs'!$R27+1),0),0)*IF(P$58=FirstYear+AnalysisPeriod-1,1,0),0)*CapitalCost_ACTIVE*P$55*IF(Scenario_Select='CBA Inputs'!$T27,1,0)</f>
        <v>0</v>
      </c>
      <c r="BB103" s="17">
        <f>IFERROR(IF(Q$58&gt;='CBA Inputs'!$R27,MAX('CBA Inputs'!$O27-'CBA Inputs'!$O27/'CBA Inputs'!$S27*(Q$58-'CBA Inputs'!$R27+1),0),0)*IF(Q$58=FirstYear+AnalysisPeriod-1,1,0),0)*CapitalCost_ACTIVE*Q$55*IF(Scenario_Select='CBA Inputs'!$T27,1,0)</f>
        <v>0</v>
      </c>
      <c r="BC103" s="17">
        <f>IFERROR(IF(R$58&gt;='CBA Inputs'!$R27,MAX('CBA Inputs'!$O27-'CBA Inputs'!$O27/'CBA Inputs'!$S27*(R$58-'CBA Inputs'!$R27+1),0),0)*IF(R$58=FirstYear+AnalysisPeriod-1,1,0),0)*CapitalCost_ACTIVE*R$55*IF(Scenario_Select='CBA Inputs'!$T27,1,0)</f>
        <v>0</v>
      </c>
      <c r="BD103" s="17">
        <f>IFERROR(IF(S$58&gt;='CBA Inputs'!$R27,MAX('CBA Inputs'!$O27-'CBA Inputs'!$O27/'CBA Inputs'!$S27*(S$58-'CBA Inputs'!$R27+1),0),0)*IF(S$58=FirstYear+AnalysisPeriod-1,1,0),0)*CapitalCost_ACTIVE*S$55*IF(Scenario_Select='CBA Inputs'!$T27,1,0)</f>
        <v>0</v>
      </c>
      <c r="BE103" s="17">
        <f>IFERROR(IF(T$58&gt;='CBA Inputs'!$R27,MAX('CBA Inputs'!$O27-'CBA Inputs'!$O27/'CBA Inputs'!$S27*(T$58-'CBA Inputs'!$R27+1),0),0)*IF(T$58=FirstYear+AnalysisPeriod-1,1,0),0)*CapitalCost_ACTIVE*T$55*IF(Scenario_Select='CBA Inputs'!$T27,1,0)</f>
        <v>0</v>
      </c>
      <c r="BF103" s="17">
        <f>IFERROR(IF(U$58&gt;='CBA Inputs'!$R27,MAX('CBA Inputs'!$O27-'CBA Inputs'!$O27/'CBA Inputs'!$S27*(U$58-'CBA Inputs'!$R27+1),0),0)*IF(U$58=FirstYear+AnalysisPeriod-1,1,0),0)*CapitalCost_ACTIVE*U$55*IF(Scenario_Select='CBA Inputs'!$T27,1,0)</f>
        <v>0</v>
      </c>
      <c r="BG103" s="17">
        <f>IFERROR(IF(V$58&gt;='CBA Inputs'!$R27,MAX('CBA Inputs'!$O27-'CBA Inputs'!$O27/'CBA Inputs'!$S27*(V$58-'CBA Inputs'!$R27+1),0),0)*IF(V$58=FirstYear+AnalysisPeriod-1,1,0),0)*CapitalCost_ACTIVE*V$55*IF(Scenario_Select='CBA Inputs'!$T27,1,0)</f>
        <v>0</v>
      </c>
      <c r="BH103" s="17">
        <f>IFERROR(IF(W$58&gt;='CBA Inputs'!$R27,MAX('CBA Inputs'!$O27-'CBA Inputs'!$O27/'CBA Inputs'!$S27*(W$58-'CBA Inputs'!$R27+1),0),0)*IF(W$58=FirstYear+AnalysisPeriod-1,1,0),0)*CapitalCost_ACTIVE*W$55*IF(Scenario_Select='CBA Inputs'!$T27,1,0)</f>
        <v>0</v>
      </c>
      <c r="BI103" s="17">
        <f>IFERROR(IF(X$58&gt;='CBA Inputs'!$R27,MAX('CBA Inputs'!$O27-'CBA Inputs'!$O27/'CBA Inputs'!$S27*(X$58-'CBA Inputs'!$R27+1),0),0)*IF(X$58=FirstYear+AnalysisPeriod-1,1,0),0)*CapitalCost_ACTIVE*X$55*IF(Scenario_Select='CBA Inputs'!$T27,1,0)</f>
        <v>0</v>
      </c>
      <c r="BJ103" s="17">
        <f>IFERROR(IF(Y$58&gt;='CBA Inputs'!$R27,MAX('CBA Inputs'!$O27-'CBA Inputs'!$O27/'CBA Inputs'!$S27*(Y$58-'CBA Inputs'!$R27+1),0),0)*IF(Y$58=FirstYear+AnalysisPeriod-1,1,0),0)*CapitalCost_ACTIVE*Y$55*IF(Scenario_Select='CBA Inputs'!$T27,1,0)</f>
        <v>0</v>
      </c>
      <c r="BK103" s="17">
        <f>IFERROR(IF(Z$58&gt;='CBA Inputs'!$R27,MAX('CBA Inputs'!$O27-'CBA Inputs'!$O27/'CBA Inputs'!$S27*(Z$58-'CBA Inputs'!$R27+1),0),0)*IF(Z$58=FirstYear+AnalysisPeriod-1,1,0),0)*CapitalCost_ACTIVE*Z$55*IF(Scenario_Select='CBA Inputs'!$T27,1,0)</f>
        <v>0</v>
      </c>
      <c r="BL103" s="17">
        <f>IFERROR(IF(AA$58&gt;='CBA Inputs'!$R27,MAX('CBA Inputs'!$O27-'CBA Inputs'!$O27/'CBA Inputs'!$S27*(AA$58-'CBA Inputs'!$R27+1),0),0)*IF(AA$58=FirstYear+AnalysisPeriod-1,1,0),0)*CapitalCost_ACTIVE*AA$55*IF(Scenario_Select='CBA Inputs'!$T27,1,0)</f>
        <v>0</v>
      </c>
      <c r="BM103" s="17">
        <f>IFERROR(IF(AB$58&gt;='CBA Inputs'!$R27,MAX('CBA Inputs'!$O27-'CBA Inputs'!$O27/'CBA Inputs'!$S27*(AB$58-'CBA Inputs'!$R27+1),0),0)*IF(AB$58=FirstYear+AnalysisPeriod-1,1,0),0)*CapitalCost_ACTIVE*AB$55*IF(Scenario_Select='CBA Inputs'!$T27,1,0)</f>
        <v>0</v>
      </c>
      <c r="BN103" s="17">
        <f>IFERROR(IF(AC$58&gt;='CBA Inputs'!$R27,MAX('CBA Inputs'!$O27-'CBA Inputs'!$O27/'CBA Inputs'!$S27*(AC$58-'CBA Inputs'!$R27+1),0),0)*IF(AC$58=FirstYear+AnalysisPeriod-1,1,0),0)*CapitalCost_ACTIVE*AC$55*IF(Scenario_Select='CBA Inputs'!$T27,1,0)</f>
        <v>0</v>
      </c>
      <c r="BO103" s="17">
        <f>IFERROR(IF(AD$58&gt;='CBA Inputs'!$R27,MAX('CBA Inputs'!$O27-'CBA Inputs'!$O27/'CBA Inputs'!$S27*(AD$58-'CBA Inputs'!$R27+1),0),0)*IF(AD$58=FirstYear+AnalysisPeriod-1,1,0),0)*CapitalCost_ACTIVE*AD$55*IF(Scenario_Select='CBA Inputs'!$T27,1,0)</f>
        <v>0</v>
      </c>
      <c r="BP103" s="17">
        <f>IFERROR(IF(AE$58&gt;='CBA Inputs'!$R27,MAX('CBA Inputs'!$O27-'CBA Inputs'!$O27/'CBA Inputs'!$S27*(AE$58-'CBA Inputs'!$R27+1),0),0)*IF(AE$58=FirstYear+AnalysisPeriod-1,1,0),0)*CapitalCost_ACTIVE*AE$55*IF(Scenario_Select='CBA Inputs'!$T27,1,0)</f>
        <v>0</v>
      </c>
      <c r="BQ103" s="17">
        <f>IFERROR(IF(AF$58&gt;='CBA Inputs'!$R27,MAX('CBA Inputs'!$O27-'CBA Inputs'!$O27/'CBA Inputs'!$S27*(AF$58-'CBA Inputs'!$R27+1),0),0)*IF(AF$58=FirstYear+AnalysisPeriod-1,1,0),0)*CapitalCost_ACTIVE*AF$55*IF(Scenario_Select='CBA Inputs'!$T27,1,0)</f>
        <v>0</v>
      </c>
      <c r="BR103" s="17">
        <f>IFERROR(IF(AG$58&gt;='CBA Inputs'!$R27,MAX('CBA Inputs'!$O27-'CBA Inputs'!$O27/'CBA Inputs'!$S27*(AG$58-'CBA Inputs'!$R27+1),0),0)*IF(AG$58=FirstYear+AnalysisPeriod-1,1,0),0)*CapitalCost_ACTIVE*AG$55*IF(Scenario_Select='CBA Inputs'!$T27,1,0)</f>
        <v>0</v>
      </c>
      <c r="BS103" s="17">
        <f>IFERROR(IF(AH$58&gt;='CBA Inputs'!$R27,MAX('CBA Inputs'!$O27-'CBA Inputs'!$O27/'CBA Inputs'!$S27*(AH$58-'CBA Inputs'!$R27+1),0),0)*IF(AH$58=FirstYear+AnalysisPeriod-1,1,0),0)*CapitalCost_ACTIVE*AH$55*IF(Scenario_Select='CBA Inputs'!$T27,1,0)</f>
        <v>0</v>
      </c>
      <c r="BT103" s="17">
        <f>IFERROR(IF(AI$58&gt;='CBA Inputs'!$R27,MAX('CBA Inputs'!$O27-'CBA Inputs'!$O27/'CBA Inputs'!$S27*(AI$58-'CBA Inputs'!$R27+1),0),0)*IF(AI$58=FirstYear+AnalysisPeriod-1,1,0),0)*CapitalCost_ACTIVE*AI$55*IF(Scenario_Select='CBA Inputs'!$T27,1,0)</f>
        <v>0</v>
      </c>
      <c r="BU103" s="17">
        <f>IFERROR(IF(AJ$58&gt;='CBA Inputs'!$R27,MAX('CBA Inputs'!$O27-'CBA Inputs'!$O27/'CBA Inputs'!$S27*(AJ$58-'CBA Inputs'!$R27+1),0),0)*IF(AJ$58=FirstYear+AnalysisPeriod-1,1,0),0)*CapitalCost_ACTIVE*AJ$55*IF(Scenario_Select='CBA Inputs'!$T27,1,0)</f>
        <v>0</v>
      </c>
    </row>
    <row r="104" spans="1:73" x14ac:dyDescent="0.35">
      <c r="B104" s="9">
        <f t="shared" si="30"/>
        <v>5</v>
      </c>
      <c r="C104" s="26" t="str">
        <f t="shared" si="30"/>
        <v>Option 2B</v>
      </c>
      <c r="D104" s="26" t="str">
        <f t="shared" si="33"/>
        <v>Lines</v>
      </c>
      <c r="E104" s="12" t="s">
        <v>35</v>
      </c>
      <c r="F104" s="18">
        <f t="shared" si="34"/>
        <v>149435143.9834083</v>
      </c>
      <c r="G104" s="17">
        <f>IFERROR(IF(G$58&gt;='CBA Inputs'!$H28,MAX('CBA Inputs'!$E28-'CBA Inputs'!$E28/'CBA Inputs'!$I28*(G$58-'CBA Inputs'!$H28+1),0),0)*IF(G$58=FirstYear+AnalysisPeriod-1,1,0),0)*CapitalCost_ACTIVE*G$55</f>
        <v>0</v>
      </c>
      <c r="H104" s="17">
        <f>IFERROR(IF(H$58&gt;='CBA Inputs'!$H28,MAX('CBA Inputs'!$E28-'CBA Inputs'!$E28/'CBA Inputs'!$I28*(H$58-'CBA Inputs'!$H28+1),0),0)*IF(H$58=FirstYear+AnalysisPeriod-1,1,0),0)*CapitalCost_ACTIVE*H$55</f>
        <v>0</v>
      </c>
      <c r="I104" s="17">
        <f>IFERROR(IF(I$58&gt;='CBA Inputs'!$H28,MAX('CBA Inputs'!$E28-'CBA Inputs'!$E28/'CBA Inputs'!$I28*(I$58-'CBA Inputs'!$H28+1),0),0)*IF(I$58=FirstYear+AnalysisPeriod-1,1,0),0)*CapitalCost_ACTIVE*I$55</f>
        <v>0</v>
      </c>
      <c r="J104" s="17">
        <f>IFERROR(IF(J$58&gt;='CBA Inputs'!$H28,MAX('CBA Inputs'!$E28-'CBA Inputs'!$E28/'CBA Inputs'!$I28*(J$58-'CBA Inputs'!$H28+1),0),0)*IF(J$58=FirstYear+AnalysisPeriod-1,1,0),0)*CapitalCost_ACTIVE*J$55</f>
        <v>0</v>
      </c>
      <c r="K104" s="17">
        <f>IFERROR(IF(K$58&gt;='CBA Inputs'!$H28,MAX('CBA Inputs'!$E28-'CBA Inputs'!$E28/'CBA Inputs'!$I28*(K$58-'CBA Inputs'!$H28+1),0),0)*IF(K$58=FirstYear+AnalysisPeriod-1,1,0),0)*CapitalCost_ACTIVE*K$55</f>
        <v>0</v>
      </c>
      <c r="L104" s="17">
        <f>IFERROR(IF(L$58&gt;='CBA Inputs'!$H28,MAX('CBA Inputs'!$E28-'CBA Inputs'!$E28/'CBA Inputs'!$I28*(L$58-'CBA Inputs'!$H28+1),0),0)*IF(L$58=FirstYear+AnalysisPeriod-1,1,0),0)*CapitalCost_ACTIVE*L$55</f>
        <v>0</v>
      </c>
      <c r="M104" s="17">
        <f>IFERROR(IF(M$58&gt;='CBA Inputs'!$H28,MAX('CBA Inputs'!$E28-'CBA Inputs'!$E28/'CBA Inputs'!$I28*(M$58-'CBA Inputs'!$H28+1),0),0)*IF(M$58=FirstYear+AnalysisPeriod-1,1,0),0)*CapitalCost_ACTIVE*M$55</f>
        <v>0</v>
      </c>
      <c r="N104" s="17">
        <f>IFERROR(IF(N$58&gt;='CBA Inputs'!$H28,MAX('CBA Inputs'!$E28-'CBA Inputs'!$E28/'CBA Inputs'!$I28*(N$58-'CBA Inputs'!$H28+1),0),0)*IF(N$58=FirstYear+AnalysisPeriod-1,1,0),0)*CapitalCost_ACTIVE*N$55</f>
        <v>0</v>
      </c>
      <c r="O104" s="17">
        <f>IFERROR(IF(O$58&gt;='CBA Inputs'!$H28,MAX('CBA Inputs'!$E28-'CBA Inputs'!$E28/'CBA Inputs'!$I28*(O$58-'CBA Inputs'!$H28+1),0),0)*IF(O$58=FirstYear+AnalysisPeriod-1,1,0),0)*CapitalCost_ACTIVE*O$55</f>
        <v>0</v>
      </c>
      <c r="P104" s="17">
        <f>IFERROR(IF(P$58&gt;='CBA Inputs'!$H28,MAX('CBA Inputs'!$E28-'CBA Inputs'!$E28/'CBA Inputs'!$I28*(P$58-'CBA Inputs'!$H28+1),0),0)*IF(P$58=FirstYear+AnalysisPeriod-1,1,0),0)*CapitalCost_ACTIVE*P$55</f>
        <v>0</v>
      </c>
      <c r="Q104" s="17">
        <f>IFERROR(IF(Q$58&gt;='CBA Inputs'!$H28,MAX('CBA Inputs'!$E28-'CBA Inputs'!$E28/'CBA Inputs'!$I28*(Q$58-'CBA Inputs'!$H28+1),0),0)*IF(Q$58=FirstYear+AnalysisPeriod-1,1,0),0)*CapitalCost_ACTIVE*Q$55</f>
        <v>0</v>
      </c>
      <c r="R104" s="17">
        <f>IFERROR(IF(R$58&gt;='CBA Inputs'!$H28,MAX('CBA Inputs'!$E28-'CBA Inputs'!$E28/'CBA Inputs'!$I28*(R$58-'CBA Inputs'!$H28+1),0),0)*IF(R$58=FirstYear+AnalysisPeriod-1,1,0),0)*CapitalCost_ACTIVE*R$55</f>
        <v>0</v>
      </c>
      <c r="S104" s="17">
        <f>IFERROR(IF(S$58&gt;='CBA Inputs'!$H28,MAX('CBA Inputs'!$E28-'CBA Inputs'!$E28/'CBA Inputs'!$I28*(S$58-'CBA Inputs'!$H28+1),0),0)*IF(S$58=FirstYear+AnalysisPeriod-1,1,0),0)*CapitalCost_ACTIVE*S$55</f>
        <v>0</v>
      </c>
      <c r="T104" s="17">
        <f>IFERROR(IF(T$58&gt;='CBA Inputs'!$H28,MAX('CBA Inputs'!$E28-'CBA Inputs'!$E28/'CBA Inputs'!$I28*(T$58-'CBA Inputs'!$H28+1),0),0)*IF(T$58=FirstYear+AnalysisPeriod-1,1,0),0)*CapitalCost_ACTIVE*T$55</f>
        <v>0</v>
      </c>
      <c r="U104" s="17">
        <f>IFERROR(IF(U$58&gt;='CBA Inputs'!$H28,MAX('CBA Inputs'!$E28-'CBA Inputs'!$E28/'CBA Inputs'!$I28*(U$58-'CBA Inputs'!$H28+1),0),0)*IF(U$58=FirstYear+AnalysisPeriod-1,1,0),0)*CapitalCost_ACTIVE*U$55</f>
        <v>0</v>
      </c>
      <c r="V104" s="17">
        <f>IFERROR(IF(V$58&gt;='CBA Inputs'!$H28,MAX('CBA Inputs'!$E28-'CBA Inputs'!$E28/'CBA Inputs'!$I28*(V$58-'CBA Inputs'!$H28+1),0),0)*IF(V$58=FirstYear+AnalysisPeriod-1,1,0),0)*CapitalCost_ACTIVE*V$55</f>
        <v>0</v>
      </c>
      <c r="W104" s="17">
        <f>IFERROR(IF(W$58&gt;='CBA Inputs'!$H28,MAX('CBA Inputs'!$E28-'CBA Inputs'!$E28/'CBA Inputs'!$I28*(W$58-'CBA Inputs'!$H28+1),0),0)*IF(W$58=FirstYear+AnalysisPeriod-1,1,0),0)*CapitalCost_ACTIVE*W$55</f>
        <v>0</v>
      </c>
      <c r="X104" s="17">
        <f>IFERROR(IF(X$58&gt;='CBA Inputs'!$H28,MAX('CBA Inputs'!$E28-'CBA Inputs'!$E28/'CBA Inputs'!$I28*(X$58-'CBA Inputs'!$H28+1),0),0)*IF(X$58=FirstYear+AnalysisPeriod-1,1,0),0)*CapitalCost_ACTIVE*X$55</f>
        <v>0</v>
      </c>
      <c r="Y104" s="17">
        <f>IFERROR(IF(Y$58&gt;='CBA Inputs'!$H28,MAX('CBA Inputs'!$E28-'CBA Inputs'!$E28/'CBA Inputs'!$I28*(Y$58-'CBA Inputs'!$H28+1),0),0)*IF(Y$58=FirstYear+AnalysisPeriod-1,1,0),0)*CapitalCost_ACTIVE*Y$55</f>
        <v>0</v>
      </c>
      <c r="Z104" s="17">
        <f>IFERROR(IF(Z$58&gt;='CBA Inputs'!$H28,MAX('CBA Inputs'!$E28-'CBA Inputs'!$E28/'CBA Inputs'!$I28*(Z$58-'CBA Inputs'!$H28+1),0),0)*IF(Z$58=FirstYear+AnalysisPeriod-1,1,0),0)*CapitalCost_ACTIVE*Z$55</f>
        <v>0</v>
      </c>
      <c r="AA104" s="17">
        <f>IFERROR(IF(AA$58&gt;='CBA Inputs'!$H28,MAX('CBA Inputs'!$E28-'CBA Inputs'!$E28/'CBA Inputs'!$I28*(AA$58-'CBA Inputs'!$H28+1),0),0)*IF(AA$58=FirstYear+AnalysisPeriod-1,1,0),0)*CapitalCost_ACTIVE*AA$55</f>
        <v>0</v>
      </c>
      <c r="AB104" s="17">
        <f>IFERROR(IF(AB$58&gt;='CBA Inputs'!$H28,MAX('CBA Inputs'!$E28-'CBA Inputs'!$E28/'CBA Inputs'!$I28*(AB$58-'CBA Inputs'!$H28+1),0),0)*IF(AB$58=FirstYear+AnalysisPeriod-1,1,0),0)*CapitalCost_ACTIVE*AB$55</f>
        <v>0</v>
      </c>
      <c r="AC104" s="17">
        <f>IFERROR(IF(AC$58&gt;='CBA Inputs'!$H28,MAX('CBA Inputs'!$E28-'CBA Inputs'!$E28/'CBA Inputs'!$I28*(AC$58-'CBA Inputs'!$H28+1),0),0)*IF(AC$58=FirstYear+AnalysisPeriod-1,1,0),0)*CapitalCost_ACTIVE*AC$55</f>
        <v>0</v>
      </c>
      <c r="AD104" s="17">
        <f>IFERROR(IF(AD$58&gt;='CBA Inputs'!$H28,MAX('CBA Inputs'!$E28-'CBA Inputs'!$E28/'CBA Inputs'!$I28*(AD$58-'CBA Inputs'!$H28+1),0),0)*IF(AD$58=FirstYear+AnalysisPeriod-1,1,0),0)*CapitalCost_ACTIVE*AD$55</f>
        <v>0</v>
      </c>
      <c r="AE104" s="17">
        <f>IFERROR(IF(AE$58&gt;='CBA Inputs'!$H28,MAX('CBA Inputs'!$E28-'CBA Inputs'!$E28/'CBA Inputs'!$I28*(AE$58-'CBA Inputs'!$H28+1),0),0)*IF(AE$58=FirstYear+AnalysisPeriod-1,1,0),0)*CapitalCost_ACTIVE*AE$55</f>
        <v>0</v>
      </c>
      <c r="AF104" s="17">
        <f>IFERROR(IF(AF$58&gt;='CBA Inputs'!$H28,MAX('CBA Inputs'!$E28-'CBA Inputs'!$E28/'CBA Inputs'!$I28*(AF$58-'CBA Inputs'!$H28+1),0),0)*IF(AF$58=FirstYear+AnalysisPeriod-1,1,0),0)*CapitalCost_ACTIVE*AF$55</f>
        <v>626400000</v>
      </c>
      <c r="AG104" s="17">
        <f>IFERROR(IF(AG$58&gt;='CBA Inputs'!$H28,MAX('CBA Inputs'!$E28-'CBA Inputs'!$E28/'CBA Inputs'!$I28*(AG$58-'CBA Inputs'!$H28+1),0),0)*IF(AG$58=FirstYear+AnalysisPeriod-1,1,0),0)*CapitalCost_ACTIVE*AG$55</f>
        <v>0</v>
      </c>
      <c r="AH104" s="17">
        <f>IFERROR(IF(AH$58&gt;='CBA Inputs'!$H28,MAX('CBA Inputs'!$E28-'CBA Inputs'!$E28/'CBA Inputs'!$I28*(AH$58-'CBA Inputs'!$H28+1),0),0)*IF(AH$58=FirstYear+AnalysisPeriod-1,1,0),0)*CapitalCost_ACTIVE*AH$55</f>
        <v>0</v>
      </c>
      <c r="AI104" s="17">
        <f>IFERROR(IF(AI$58&gt;='CBA Inputs'!$H28,MAX('CBA Inputs'!$E28-'CBA Inputs'!$E28/'CBA Inputs'!$I28*(AI$58-'CBA Inputs'!$H28+1),0),0)*IF(AI$58=FirstYear+AnalysisPeriod-1,1,0),0)*CapitalCost_ACTIVE*AI$55</f>
        <v>0</v>
      </c>
      <c r="AJ104" s="17">
        <f>IFERROR(IF(AJ$58&gt;='CBA Inputs'!$H28,MAX('CBA Inputs'!$E28-'CBA Inputs'!$E28/'CBA Inputs'!$I28*(AJ$58-'CBA Inputs'!$H28+1),0),0)*IF(AJ$58=FirstYear+AnalysisPeriod-1,1,0),0)*CapitalCost_ACTIVE*AJ$55</f>
        <v>0</v>
      </c>
      <c r="AM104" s="9">
        <f t="shared" si="35"/>
        <v>8</v>
      </c>
      <c r="AN104" s="26" t="str">
        <f t="shared" si="35"/>
        <v>Option 3B</v>
      </c>
      <c r="AO104" s="26" t="str">
        <f t="shared" si="35"/>
        <v>Substation</v>
      </c>
      <c r="AP104" s="12" t="s">
        <v>35</v>
      </c>
      <c r="AQ104" s="18">
        <f t="shared" si="36"/>
        <v>25162645.307872877</v>
      </c>
      <c r="AR104" s="17">
        <f>IFERROR(IF(G$58&gt;='CBA Inputs'!$R28,MAX('CBA Inputs'!$O28-'CBA Inputs'!$O28/'CBA Inputs'!$S28*(G$58-'CBA Inputs'!$R28+1),0),0)*IF(G$58=FirstYear+AnalysisPeriod-1,1,0),0)*CapitalCost_ACTIVE*G$55*IF(Scenario_Select='CBA Inputs'!$T28,1,0)</f>
        <v>0</v>
      </c>
      <c r="AS104" s="17">
        <f>IFERROR(IF(H$58&gt;='CBA Inputs'!$R28,MAX('CBA Inputs'!$O28-'CBA Inputs'!$O28/'CBA Inputs'!$S28*(H$58-'CBA Inputs'!$R28+1),0),0)*IF(H$58=FirstYear+AnalysisPeriod-1,1,0),0)*CapitalCost_ACTIVE*H$55*IF(Scenario_Select='CBA Inputs'!$T28,1,0)</f>
        <v>0</v>
      </c>
      <c r="AT104" s="17">
        <f>IFERROR(IF(I$58&gt;='CBA Inputs'!$R28,MAX('CBA Inputs'!$O28-'CBA Inputs'!$O28/'CBA Inputs'!$S28*(I$58-'CBA Inputs'!$R28+1),0),0)*IF(I$58=FirstYear+AnalysisPeriod-1,1,0),0)*CapitalCost_ACTIVE*I$55*IF(Scenario_Select='CBA Inputs'!$T28,1,0)</f>
        <v>0</v>
      </c>
      <c r="AU104" s="17">
        <f>IFERROR(IF(J$58&gt;='CBA Inputs'!$R28,MAX('CBA Inputs'!$O28-'CBA Inputs'!$O28/'CBA Inputs'!$S28*(J$58-'CBA Inputs'!$R28+1),0),0)*IF(J$58=FirstYear+AnalysisPeriod-1,1,0),0)*CapitalCost_ACTIVE*J$55*IF(Scenario_Select='CBA Inputs'!$T28,1,0)</f>
        <v>0</v>
      </c>
      <c r="AV104" s="17">
        <f>IFERROR(IF(K$58&gt;='CBA Inputs'!$R28,MAX('CBA Inputs'!$O28-'CBA Inputs'!$O28/'CBA Inputs'!$S28*(K$58-'CBA Inputs'!$R28+1),0),0)*IF(K$58=FirstYear+AnalysisPeriod-1,1,0),0)*CapitalCost_ACTIVE*K$55*IF(Scenario_Select='CBA Inputs'!$T28,1,0)</f>
        <v>0</v>
      </c>
      <c r="AW104" s="17">
        <f>IFERROR(IF(L$58&gt;='CBA Inputs'!$R28,MAX('CBA Inputs'!$O28-'CBA Inputs'!$O28/'CBA Inputs'!$S28*(L$58-'CBA Inputs'!$R28+1),0),0)*IF(L$58=FirstYear+AnalysisPeriod-1,1,0),0)*CapitalCost_ACTIVE*L$55*IF(Scenario_Select='CBA Inputs'!$T28,1,0)</f>
        <v>0</v>
      </c>
      <c r="AX104" s="17">
        <f>IFERROR(IF(M$58&gt;='CBA Inputs'!$R28,MAX('CBA Inputs'!$O28-'CBA Inputs'!$O28/'CBA Inputs'!$S28*(M$58-'CBA Inputs'!$R28+1),0),0)*IF(M$58=FirstYear+AnalysisPeriod-1,1,0),0)*CapitalCost_ACTIVE*M$55*IF(Scenario_Select='CBA Inputs'!$T28,1,0)</f>
        <v>0</v>
      </c>
      <c r="AY104" s="17">
        <f>IFERROR(IF(N$58&gt;='CBA Inputs'!$R28,MAX('CBA Inputs'!$O28-'CBA Inputs'!$O28/'CBA Inputs'!$S28*(N$58-'CBA Inputs'!$R28+1),0),0)*IF(N$58=FirstYear+AnalysisPeriod-1,1,0),0)*CapitalCost_ACTIVE*N$55*IF(Scenario_Select='CBA Inputs'!$T28,1,0)</f>
        <v>0</v>
      </c>
      <c r="AZ104" s="17">
        <f>IFERROR(IF(O$58&gt;='CBA Inputs'!$R28,MAX('CBA Inputs'!$O28-'CBA Inputs'!$O28/'CBA Inputs'!$S28*(O$58-'CBA Inputs'!$R28+1),0),0)*IF(O$58=FirstYear+AnalysisPeriod-1,1,0),0)*CapitalCost_ACTIVE*O$55*IF(Scenario_Select='CBA Inputs'!$T28,1,0)</f>
        <v>0</v>
      </c>
      <c r="BA104" s="17">
        <f>IFERROR(IF(P$58&gt;='CBA Inputs'!$R28,MAX('CBA Inputs'!$O28-'CBA Inputs'!$O28/'CBA Inputs'!$S28*(P$58-'CBA Inputs'!$R28+1),0),0)*IF(P$58=FirstYear+AnalysisPeriod-1,1,0),0)*CapitalCost_ACTIVE*P$55*IF(Scenario_Select='CBA Inputs'!$T28,1,0)</f>
        <v>0</v>
      </c>
      <c r="BB104" s="17">
        <f>IFERROR(IF(Q$58&gt;='CBA Inputs'!$R28,MAX('CBA Inputs'!$O28-'CBA Inputs'!$O28/'CBA Inputs'!$S28*(Q$58-'CBA Inputs'!$R28+1),0),0)*IF(Q$58=FirstYear+AnalysisPeriod-1,1,0),0)*CapitalCost_ACTIVE*Q$55*IF(Scenario_Select='CBA Inputs'!$T28,1,0)</f>
        <v>0</v>
      </c>
      <c r="BC104" s="17">
        <f>IFERROR(IF(R$58&gt;='CBA Inputs'!$R28,MAX('CBA Inputs'!$O28-'CBA Inputs'!$O28/'CBA Inputs'!$S28*(R$58-'CBA Inputs'!$R28+1),0),0)*IF(R$58=FirstYear+AnalysisPeriod-1,1,0),0)*CapitalCost_ACTIVE*R$55*IF(Scenario_Select='CBA Inputs'!$T28,1,0)</f>
        <v>0</v>
      </c>
      <c r="BD104" s="17">
        <f>IFERROR(IF(S$58&gt;='CBA Inputs'!$R28,MAX('CBA Inputs'!$O28-'CBA Inputs'!$O28/'CBA Inputs'!$S28*(S$58-'CBA Inputs'!$R28+1),0),0)*IF(S$58=FirstYear+AnalysisPeriod-1,1,0),0)*CapitalCost_ACTIVE*S$55*IF(Scenario_Select='CBA Inputs'!$T28,1,0)</f>
        <v>0</v>
      </c>
      <c r="BE104" s="17">
        <f>IFERROR(IF(T$58&gt;='CBA Inputs'!$R28,MAX('CBA Inputs'!$O28-'CBA Inputs'!$O28/'CBA Inputs'!$S28*(T$58-'CBA Inputs'!$R28+1),0),0)*IF(T$58=FirstYear+AnalysisPeriod-1,1,0),0)*CapitalCost_ACTIVE*T$55*IF(Scenario_Select='CBA Inputs'!$T28,1,0)</f>
        <v>0</v>
      </c>
      <c r="BF104" s="17">
        <f>IFERROR(IF(U$58&gt;='CBA Inputs'!$R28,MAX('CBA Inputs'!$O28-'CBA Inputs'!$O28/'CBA Inputs'!$S28*(U$58-'CBA Inputs'!$R28+1),0),0)*IF(U$58=FirstYear+AnalysisPeriod-1,1,0),0)*CapitalCost_ACTIVE*U$55*IF(Scenario_Select='CBA Inputs'!$T28,1,0)</f>
        <v>0</v>
      </c>
      <c r="BG104" s="17">
        <f>IFERROR(IF(V$58&gt;='CBA Inputs'!$R28,MAX('CBA Inputs'!$O28-'CBA Inputs'!$O28/'CBA Inputs'!$S28*(V$58-'CBA Inputs'!$R28+1),0),0)*IF(V$58=FirstYear+AnalysisPeriod-1,1,0),0)*CapitalCost_ACTIVE*V$55*IF(Scenario_Select='CBA Inputs'!$T28,1,0)</f>
        <v>0</v>
      </c>
      <c r="BH104" s="17">
        <f>IFERROR(IF(W$58&gt;='CBA Inputs'!$R28,MAX('CBA Inputs'!$O28-'CBA Inputs'!$O28/'CBA Inputs'!$S28*(W$58-'CBA Inputs'!$R28+1),0),0)*IF(W$58=FirstYear+AnalysisPeriod-1,1,0),0)*CapitalCost_ACTIVE*W$55*IF(Scenario_Select='CBA Inputs'!$T28,1,0)</f>
        <v>0</v>
      </c>
      <c r="BI104" s="17">
        <f>IFERROR(IF(X$58&gt;='CBA Inputs'!$R28,MAX('CBA Inputs'!$O28-'CBA Inputs'!$O28/'CBA Inputs'!$S28*(X$58-'CBA Inputs'!$R28+1),0),0)*IF(X$58=FirstYear+AnalysisPeriod-1,1,0),0)*CapitalCost_ACTIVE*X$55*IF(Scenario_Select='CBA Inputs'!$T28,1,0)</f>
        <v>0</v>
      </c>
      <c r="BJ104" s="17">
        <f>IFERROR(IF(Y$58&gt;='CBA Inputs'!$R28,MAX('CBA Inputs'!$O28-'CBA Inputs'!$O28/'CBA Inputs'!$S28*(Y$58-'CBA Inputs'!$R28+1),0),0)*IF(Y$58=FirstYear+AnalysisPeriod-1,1,0),0)*CapitalCost_ACTIVE*Y$55*IF(Scenario_Select='CBA Inputs'!$T28,1,0)</f>
        <v>0</v>
      </c>
      <c r="BK104" s="17">
        <f>IFERROR(IF(Z$58&gt;='CBA Inputs'!$R28,MAX('CBA Inputs'!$O28-'CBA Inputs'!$O28/'CBA Inputs'!$S28*(Z$58-'CBA Inputs'!$R28+1),0),0)*IF(Z$58=FirstYear+AnalysisPeriod-1,1,0),0)*CapitalCost_ACTIVE*Z$55*IF(Scenario_Select='CBA Inputs'!$T28,1,0)</f>
        <v>0</v>
      </c>
      <c r="BL104" s="17">
        <f>IFERROR(IF(AA$58&gt;='CBA Inputs'!$R28,MAX('CBA Inputs'!$O28-'CBA Inputs'!$O28/'CBA Inputs'!$S28*(AA$58-'CBA Inputs'!$R28+1),0),0)*IF(AA$58=FirstYear+AnalysisPeriod-1,1,0),0)*CapitalCost_ACTIVE*AA$55*IF(Scenario_Select='CBA Inputs'!$T28,1,0)</f>
        <v>0</v>
      </c>
      <c r="BM104" s="17">
        <f>IFERROR(IF(AB$58&gt;='CBA Inputs'!$R28,MAX('CBA Inputs'!$O28-'CBA Inputs'!$O28/'CBA Inputs'!$S28*(AB$58-'CBA Inputs'!$R28+1),0),0)*IF(AB$58=FirstYear+AnalysisPeriod-1,1,0),0)*CapitalCost_ACTIVE*AB$55*IF(Scenario_Select='CBA Inputs'!$T28,1,0)</f>
        <v>0</v>
      </c>
      <c r="BN104" s="17">
        <f>IFERROR(IF(AC$58&gt;='CBA Inputs'!$R28,MAX('CBA Inputs'!$O28-'CBA Inputs'!$O28/'CBA Inputs'!$S28*(AC$58-'CBA Inputs'!$R28+1),0),0)*IF(AC$58=FirstYear+AnalysisPeriod-1,1,0),0)*CapitalCost_ACTIVE*AC$55*IF(Scenario_Select='CBA Inputs'!$T28,1,0)</f>
        <v>0</v>
      </c>
      <c r="BO104" s="17">
        <f>IFERROR(IF(AD$58&gt;='CBA Inputs'!$R28,MAX('CBA Inputs'!$O28-'CBA Inputs'!$O28/'CBA Inputs'!$S28*(AD$58-'CBA Inputs'!$R28+1),0),0)*IF(AD$58=FirstYear+AnalysisPeriod-1,1,0),0)*CapitalCost_ACTIVE*AD$55*IF(Scenario_Select='CBA Inputs'!$T28,1,0)</f>
        <v>0</v>
      </c>
      <c r="BP104" s="17">
        <f>IFERROR(IF(AE$58&gt;='CBA Inputs'!$R28,MAX('CBA Inputs'!$O28-'CBA Inputs'!$O28/'CBA Inputs'!$S28*(AE$58-'CBA Inputs'!$R28+1),0),0)*IF(AE$58=FirstYear+AnalysisPeriod-1,1,0),0)*CapitalCost_ACTIVE*AE$55*IF(Scenario_Select='CBA Inputs'!$T28,1,0)</f>
        <v>0</v>
      </c>
      <c r="BQ104" s="17">
        <f>IFERROR(IF(AF$58&gt;='CBA Inputs'!$R28,MAX('CBA Inputs'!$O28-'CBA Inputs'!$O28/'CBA Inputs'!$S28*(AF$58-'CBA Inputs'!$R28+1),0),0)*IF(AF$58=FirstYear+AnalysisPeriod-1,1,0),0)*CapitalCost_ACTIVE*AF$55*IF(Scenario_Select='CBA Inputs'!$T28,1,0)</f>
        <v>99600000</v>
      </c>
      <c r="BR104" s="17">
        <f>IFERROR(IF(AG$58&gt;='CBA Inputs'!$R28,MAX('CBA Inputs'!$O28-'CBA Inputs'!$O28/'CBA Inputs'!$S28*(AG$58-'CBA Inputs'!$R28+1),0),0)*IF(AG$58=FirstYear+AnalysisPeriod-1,1,0),0)*CapitalCost_ACTIVE*AG$55*IF(Scenario_Select='CBA Inputs'!$T28,1,0)</f>
        <v>0</v>
      </c>
      <c r="BS104" s="17">
        <f>IFERROR(IF(AH$58&gt;='CBA Inputs'!$R28,MAX('CBA Inputs'!$O28-'CBA Inputs'!$O28/'CBA Inputs'!$S28*(AH$58-'CBA Inputs'!$R28+1),0),0)*IF(AH$58=FirstYear+AnalysisPeriod-1,1,0),0)*CapitalCost_ACTIVE*AH$55*IF(Scenario_Select='CBA Inputs'!$T28,1,0)</f>
        <v>0</v>
      </c>
      <c r="BT104" s="17">
        <f>IFERROR(IF(AI$58&gt;='CBA Inputs'!$R28,MAX('CBA Inputs'!$O28-'CBA Inputs'!$O28/'CBA Inputs'!$S28*(AI$58-'CBA Inputs'!$R28+1),0),0)*IF(AI$58=FirstYear+AnalysisPeriod-1,1,0),0)*CapitalCost_ACTIVE*AI$55*IF(Scenario_Select='CBA Inputs'!$T28,1,0)</f>
        <v>0</v>
      </c>
      <c r="BU104" s="17">
        <f>IFERROR(IF(AJ$58&gt;='CBA Inputs'!$R28,MAX('CBA Inputs'!$O28-'CBA Inputs'!$O28/'CBA Inputs'!$S28*(AJ$58-'CBA Inputs'!$R28+1),0),0)*IF(AJ$58=FirstYear+AnalysisPeriod-1,1,0),0)*CapitalCost_ACTIVE*AJ$55*IF(Scenario_Select='CBA Inputs'!$T28,1,0)</f>
        <v>0</v>
      </c>
    </row>
    <row r="105" spans="1:73" x14ac:dyDescent="0.35">
      <c r="B105" s="9">
        <f t="shared" si="30"/>
        <v>5</v>
      </c>
      <c r="C105" s="26" t="str">
        <f t="shared" si="30"/>
        <v>Option 2B</v>
      </c>
      <c r="D105" s="26" t="str">
        <f t="shared" si="33"/>
        <v>Substation</v>
      </c>
      <c r="E105" s="12" t="s">
        <v>35</v>
      </c>
      <c r="F105" s="18">
        <f t="shared" si="34"/>
        <v>38867689.708647504</v>
      </c>
      <c r="G105" s="17">
        <f>IFERROR(IF(G$58&gt;='CBA Inputs'!$H29,MAX('CBA Inputs'!$E29-'CBA Inputs'!$E29/'CBA Inputs'!$I29*(G$58-'CBA Inputs'!$H29+1),0),0)*IF(G$58=FirstYear+AnalysisPeriod-1,1,0),0)*CapitalCost_ACTIVE*G$55</f>
        <v>0</v>
      </c>
      <c r="H105" s="17">
        <f>IFERROR(IF(H$58&gt;='CBA Inputs'!$H29,MAX('CBA Inputs'!$E29-'CBA Inputs'!$E29/'CBA Inputs'!$I29*(H$58-'CBA Inputs'!$H29+1),0),0)*IF(H$58=FirstYear+AnalysisPeriod-1,1,0),0)*CapitalCost_ACTIVE*H$55</f>
        <v>0</v>
      </c>
      <c r="I105" s="17">
        <f>IFERROR(IF(I$58&gt;='CBA Inputs'!$H29,MAX('CBA Inputs'!$E29-'CBA Inputs'!$E29/'CBA Inputs'!$I29*(I$58-'CBA Inputs'!$H29+1),0),0)*IF(I$58=FirstYear+AnalysisPeriod-1,1,0),0)*CapitalCost_ACTIVE*I$55</f>
        <v>0</v>
      </c>
      <c r="J105" s="17">
        <f>IFERROR(IF(J$58&gt;='CBA Inputs'!$H29,MAX('CBA Inputs'!$E29-'CBA Inputs'!$E29/'CBA Inputs'!$I29*(J$58-'CBA Inputs'!$H29+1),0),0)*IF(J$58=FirstYear+AnalysisPeriod-1,1,0),0)*CapitalCost_ACTIVE*J$55</f>
        <v>0</v>
      </c>
      <c r="K105" s="17">
        <f>IFERROR(IF(K$58&gt;='CBA Inputs'!$H29,MAX('CBA Inputs'!$E29-'CBA Inputs'!$E29/'CBA Inputs'!$I29*(K$58-'CBA Inputs'!$H29+1),0),0)*IF(K$58=FirstYear+AnalysisPeriod-1,1,0),0)*CapitalCost_ACTIVE*K$55</f>
        <v>0</v>
      </c>
      <c r="L105" s="17">
        <f>IFERROR(IF(L$58&gt;='CBA Inputs'!$H29,MAX('CBA Inputs'!$E29-'CBA Inputs'!$E29/'CBA Inputs'!$I29*(L$58-'CBA Inputs'!$H29+1),0),0)*IF(L$58=FirstYear+AnalysisPeriod-1,1,0),0)*CapitalCost_ACTIVE*L$55</f>
        <v>0</v>
      </c>
      <c r="M105" s="17">
        <f>IFERROR(IF(M$58&gt;='CBA Inputs'!$H29,MAX('CBA Inputs'!$E29-'CBA Inputs'!$E29/'CBA Inputs'!$I29*(M$58-'CBA Inputs'!$H29+1),0),0)*IF(M$58=FirstYear+AnalysisPeriod-1,1,0),0)*CapitalCost_ACTIVE*M$55</f>
        <v>0</v>
      </c>
      <c r="N105" s="17">
        <f>IFERROR(IF(N$58&gt;='CBA Inputs'!$H29,MAX('CBA Inputs'!$E29-'CBA Inputs'!$E29/'CBA Inputs'!$I29*(N$58-'CBA Inputs'!$H29+1),0),0)*IF(N$58=FirstYear+AnalysisPeriod-1,1,0),0)*CapitalCost_ACTIVE*N$55</f>
        <v>0</v>
      </c>
      <c r="O105" s="17">
        <f>IFERROR(IF(O$58&gt;='CBA Inputs'!$H29,MAX('CBA Inputs'!$E29-'CBA Inputs'!$E29/'CBA Inputs'!$I29*(O$58-'CBA Inputs'!$H29+1),0),0)*IF(O$58=FirstYear+AnalysisPeriod-1,1,0),0)*CapitalCost_ACTIVE*O$55</f>
        <v>0</v>
      </c>
      <c r="P105" s="17">
        <f>IFERROR(IF(P$58&gt;='CBA Inputs'!$H29,MAX('CBA Inputs'!$E29-'CBA Inputs'!$E29/'CBA Inputs'!$I29*(P$58-'CBA Inputs'!$H29+1),0),0)*IF(P$58=FirstYear+AnalysisPeriod-1,1,0),0)*CapitalCost_ACTIVE*P$55</f>
        <v>0</v>
      </c>
      <c r="Q105" s="17">
        <f>IFERROR(IF(Q$58&gt;='CBA Inputs'!$H29,MAX('CBA Inputs'!$E29-'CBA Inputs'!$E29/'CBA Inputs'!$I29*(Q$58-'CBA Inputs'!$H29+1),0),0)*IF(Q$58=FirstYear+AnalysisPeriod-1,1,0),0)*CapitalCost_ACTIVE*Q$55</f>
        <v>0</v>
      </c>
      <c r="R105" s="17">
        <f>IFERROR(IF(R$58&gt;='CBA Inputs'!$H29,MAX('CBA Inputs'!$E29-'CBA Inputs'!$E29/'CBA Inputs'!$I29*(R$58-'CBA Inputs'!$H29+1),0),0)*IF(R$58=FirstYear+AnalysisPeriod-1,1,0),0)*CapitalCost_ACTIVE*R$55</f>
        <v>0</v>
      </c>
      <c r="S105" s="17">
        <f>IFERROR(IF(S$58&gt;='CBA Inputs'!$H29,MAX('CBA Inputs'!$E29-'CBA Inputs'!$E29/'CBA Inputs'!$I29*(S$58-'CBA Inputs'!$H29+1),0),0)*IF(S$58=FirstYear+AnalysisPeriod-1,1,0),0)*CapitalCost_ACTIVE*S$55</f>
        <v>0</v>
      </c>
      <c r="T105" s="17">
        <f>IFERROR(IF(T$58&gt;='CBA Inputs'!$H29,MAX('CBA Inputs'!$E29-'CBA Inputs'!$E29/'CBA Inputs'!$I29*(T$58-'CBA Inputs'!$H29+1),0),0)*IF(T$58=FirstYear+AnalysisPeriod-1,1,0),0)*CapitalCost_ACTIVE*T$55</f>
        <v>0</v>
      </c>
      <c r="U105" s="17">
        <f>IFERROR(IF(U$58&gt;='CBA Inputs'!$H29,MAX('CBA Inputs'!$E29-'CBA Inputs'!$E29/'CBA Inputs'!$I29*(U$58-'CBA Inputs'!$H29+1),0),0)*IF(U$58=FirstYear+AnalysisPeriod-1,1,0),0)*CapitalCost_ACTIVE*U$55</f>
        <v>0</v>
      </c>
      <c r="V105" s="17">
        <f>IFERROR(IF(V$58&gt;='CBA Inputs'!$H29,MAX('CBA Inputs'!$E29-'CBA Inputs'!$E29/'CBA Inputs'!$I29*(V$58-'CBA Inputs'!$H29+1),0),0)*IF(V$58=FirstYear+AnalysisPeriod-1,1,0),0)*CapitalCost_ACTIVE*V$55</f>
        <v>0</v>
      </c>
      <c r="W105" s="17">
        <f>IFERROR(IF(W$58&gt;='CBA Inputs'!$H29,MAX('CBA Inputs'!$E29-'CBA Inputs'!$E29/'CBA Inputs'!$I29*(W$58-'CBA Inputs'!$H29+1),0),0)*IF(W$58=FirstYear+AnalysisPeriod-1,1,0),0)*CapitalCost_ACTIVE*W$55</f>
        <v>0</v>
      </c>
      <c r="X105" s="17">
        <f>IFERROR(IF(X$58&gt;='CBA Inputs'!$H29,MAX('CBA Inputs'!$E29-'CBA Inputs'!$E29/'CBA Inputs'!$I29*(X$58-'CBA Inputs'!$H29+1),0),0)*IF(X$58=FirstYear+AnalysisPeriod-1,1,0),0)*CapitalCost_ACTIVE*X$55</f>
        <v>0</v>
      </c>
      <c r="Y105" s="17">
        <f>IFERROR(IF(Y$58&gt;='CBA Inputs'!$H29,MAX('CBA Inputs'!$E29-'CBA Inputs'!$E29/'CBA Inputs'!$I29*(Y$58-'CBA Inputs'!$H29+1),0),0)*IF(Y$58=FirstYear+AnalysisPeriod-1,1,0),0)*CapitalCost_ACTIVE*Y$55</f>
        <v>0</v>
      </c>
      <c r="Z105" s="17">
        <f>IFERROR(IF(Z$58&gt;='CBA Inputs'!$H29,MAX('CBA Inputs'!$E29-'CBA Inputs'!$E29/'CBA Inputs'!$I29*(Z$58-'CBA Inputs'!$H29+1),0),0)*IF(Z$58=FirstYear+AnalysisPeriod-1,1,0),0)*CapitalCost_ACTIVE*Z$55</f>
        <v>0</v>
      </c>
      <c r="AA105" s="17">
        <f>IFERROR(IF(AA$58&gt;='CBA Inputs'!$H29,MAX('CBA Inputs'!$E29-'CBA Inputs'!$E29/'CBA Inputs'!$I29*(AA$58-'CBA Inputs'!$H29+1),0),0)*IF(AA$58=FirstYear+AnalysisPeriod-1,1,0),0)*CapitalCost_ACTIVE*AA$55</f>
        <v>0</v>
      </c>
      <c r="AB105" s="17">
        <f>IFERROR(IF(AB$58&gt;='CBA Inputs'!$H29,MAX('CBA Inputs'!$E29-'CBA Inputs'!$E29/'CBA Inputs'!$I29*(AB$58-'CBA Inputs'!$H29+1),0),0)*IF(AB$58=FirstYear+AnalysisPeriod-1,1,0),0)*CapitalCost_ACTIVE*AB$55</f>
        <v>0</v>
      </c>
      <c r="AC105" s="17">
        <f>IFERROR(IF(AC$58&gt;='CBA Inputs'!$H29,MAX('CBA Inputs'!$E29-'CBA Inputs'!$E29/'CBA Inputs'!$I29*(AC$58-'CBA Inputs'!$H29+1),0),0)*IF(AC$58=FirstYear+AnalysisPeriod-1,1,0),0)*CapitalCost_ACTIVE*AC$55</f>
        <v>0</v>
      </c>
      <c r="AD105" s="17">
        <f>IFERROR(IF(AD$58&gt;='CBA Inputs'!$H29,MAX('CBA Inputs'!$E29-'CBA Inputs'!$E29/'CBA Inputs'!$I29*(AD$58-'CBA Inputs'!$H29+1),0),0)*IF(AD$58=FirstYear+AnalysisPeriod-1,1,0),0)*CapitalCost_ACTIVE*AD$55</f>
        <v>0</v>
      </c>
      <c r="AE105" s="17">
        <f>IFERROR(IF(AE$58&gt;='CBA Inputs'!$H29,MAX('CBA Inputs'!$E29-'CBA Inputs'!$E29/'CBA Inputs'!$I29*(AE$58-'CBA Inputs'!$H29+1),0),0)*IF(AE$58=FirstYear+AnalysisPeriod-1,1,0),0)*CapitalCost_ACTIVE*AE$55</f>
        <v>0</v>
      </c>
      <c r="AF105" s="17">
        <f>IFERROR(IF(AF$58&gt;='CBA Inputs'!$H29,MAX('CBA Inputs'!$E29-'CBA Inputs'!$E29/'CBA Inputs'!$I29*(AF$58-'CBA Inputs'!$H29+1),0),0)*IF(AF$58=FirstYear+AnalysisPeriod-1,1,0),0)*CapitalCost_ACTIVE*AF$55</f>
        <v>162925000</v>
      </c>
      <c r="AG105" s="17">
        <f>IFERROR(IF(AG$58&gt;='CBA Inputs'!$H29,MAX('CBA Inputs'!$E29-'CBA Inputs'!$E29/'CBA Inputs'!$I29*(AG$58-'CBA Inputs'!$H29+1),0),0)*IF(AG$58=FirstYear+AnalysisPeriod-1,1,0),0)*CapitalCost_ACTIVE*AG$55</f>
        <v>0</v>
      </c>
      <c r="AH105" s="17">
        <f>IFERROR(IF(AH$58&gt;='CBA Inputs'!$H29,MAX('CBA Inputs'!$E29-'CBA Inputs'!$E29/'CBA Inputs'!$I29*(AH$58-'CBA Inputs'!$H29+1),0),0)*IF(AH$58=FirstYear+AnalysisPeriod-1,1,0),0)*CapitalCost_ACTIVE*AH$55</f>
        <v>0</v>
      </c>
      <c r="AI105" s="17">
        <f>IFERROR(IF(AI$58&gt;='CBA Inputs'!$H29,MAX('CBA Inputs'!$E29-'CBA Inputs'!$E29/'CBA Inputs'!$I29*(AI$58-'CBA Inputs'!$H29+1),0),0)*IF(AI$58=FirstYear+AnalysisPeriod-1,1,0),0)*CapitalCost_ACTIVE*AI$55</f>
        <v>0</v>
      </c>
      <c r="AJ105" s="17">
        <f>IFERROR(IF(AJ$58&gt;='CBA Inputs'!$H29,MAX('CBA Inputs'!$E29-'CBA Inputs'!$E29/'CBA Inputs'!$I29*(AJ$58-'CBA Inputs'!$H29+1),0),0)*IF(AJ$58=FirstYear+AnalysisPeriod-1,1,0),0)*CapitalCost_ACTIVE*AJ$55</f>
        <v>0</v>
      </c>
      <c r="AM105" s="9">
        <f t="shared" si="35"/>
        <v>8</v>
      </c>
      <c r="AN105" s="26" t="str">
        <f t="shared" si="35"/>
        <v>Option 3B</v>
      </c>
      <c r="AO105" s="26" t="str">
        <f t="shared" si="35"/>
        <v>Substation</v>
      </c>
      <c r="AP105" s="12" t="s">
        <v>35</v>
      </c>
      <c r="AQ105" s="18">
        <f t="shared" si="36"/>
        <v>0</v>
      </c>
      <c r="AR105" s="17">
        <f>IFERROR(IF(G$58&gt;='CBA Inputs'!$R29,MAX('CBA Inputs'!$O29-'CBA Inputs'!$O29/'CBA Inputs'!$S29*(G$58-'CBA Inputs'!$R29+1),0),0)*IF(G$58=FirstYear+AnalysisPeriod-1,1,0),0)*CapitalCost_ACTIVE*G$55*IF(Scenario_Select='CBA Inputs'!$T29,1,0)</f>
        <v>0</v>
      </c>
      <c r="AS105" s="17">
        <f>IFERROR(IF(H$58&gt;='CBA Inputs'!$R29,MAX('CBA Inputs'!$O29-'CBA Inputs'!$O29/'CBA Inputs'!$S29*(H$58-'CBA Inputs'!$R29+1),0),0)*IF(H$58=FirstYear+AnalysisPeriod-1,1,0),0)*CapitalCost_ACTIVE*H$55*IF(Scenario_Select='CBA Inputs'!$T29,1,0)</f>
        <v>0</v>
      </c>
      <c r="AT105" s="17">
        <f>IFERROR(IF(I$58&gt;='CBA Inputs'!$R29,MAX('CBA Inputs'!$O29-'CBA Inputs'!$O29/'CBA Inputs'!$S29*(I$58-'CBA Inputs'!$R29+1),0),0)*IF(I$58=FirstYear+AnalysisPeriod-1,1,0),0)*CapitalCost_ACTIVE*I$55*IF(Scenario_Select='CBA Inputs'!$T29,1,0)</f>
        <v>0</v>
      </c>
      <c r="AU105" s="17">
        <f>IFERROR(IF(J$58&gt;='CBA Inputs'!$R29,MAX('CBA Inputs'!$O29-'CBA Inputs'!$O29/'CBA Inputs'!$S29*(J$58-'CBA Inputs'!$R29+1),0),0)*IF(J$58=FirstYear+AnalysisPeriod-1,1,0),0)*CapitalCost_ACTIVE*J$55*IF(Scenario_Select='CBA Inputs'!$T29,1,0)</f>
        <v>0</v>
      </c>
      <c r="AV105" s="17">
        <f>IFERROR(IF(K$58&gt;='CBA Inputs'!$R29,MAX('CBA Inputs'!$O29-'CBA Inputs'!$O29/'CBA Inputs'!$S29*(K$58-'CBA Inputs'!$R29+1),0),0)*IF(K$58=FirstYear+AnalysisPeriod-1,1,0),0)*CapitalCost_ACTIVE*K$55*IF(Scenario_Select='CBA Inputs'!$T29,1,0)</f>
        <v>0</v>
      </c>
      <c r="AW105" s="17">
        <f>IFERROR(IF(L$58&gt;='CBA Inputs'!$R29,MAX('CBA Inputs'!$O29-'CBA Inputs'!$O29/'CBA Inputs'!$S29*(L$58-'CBA Inputs'!$R29+1),0),0)*IF(L$58=FirstYear+AnalysisPeriod-1,1,0),0)*CapitalCost_ACTIVE*L$55*IF(Scenario_Select='CBA Inputs'!$T29,1,0)</f>
        <v>0</v>
      </c>
      <c r="AX105" s="17">
        <f>IFERROR(IF(M$58&gt;='CBA Inputs'!$R29,MAX('CBA Inputs'!$O29-'CBA Inputs'!$O29/'CBA Inputs'!$S29*(M$58-'CBA Inputs'!$R29+1),0),0)*IF(M$58=FirstYear+AnalysisPeriod-1,1,0),0)*CapitalCost_ACTIVE*M$55*IF(Scenario_Select='CBA Inputs'!$T29,1,0)</f>
        <v>0</v>
      </c>
      <c r="AY105" s="17">
        <f>IFERROR(IF(N$58&gt;='CBA Inputs'!$R29,MAX('CBA Inputs'!$O29-'CBA Inputs'!$O29/'CBA Inputs'!$S29*(N$58-'CBA Inputs'!$R29+1),0),0)*IF(N$58=FirstYear+AnalysisPeriod-1,1,0),0)*CapitalCost_ACTIVE*N$55*IF(Scenario_Select='CBA Inputs'!$T29,1,0)</f>
        <v>0</v>
      </c>
      <c r="AZ105" s="17">
        <f>IFERROR(IF(O$58&gt;='CBA Inputs'!$R29,MAX('CBA Inputs'!$O29-'CBA Inputs'!$O29/'CBA Inputs'!$S29*(O$58-'CBA Inputs'!$R29+1),0),0)*IF(O$58=FirstYear+AnalysisPeriod-1,1,0),0)*CapitalCost_ACTIVE*O$55*IF(Scenario_Select='CBA Inputs'!$T29,1,0)</f>
        <v>0</v>
      </c>
      <c r="BA105" s="17">
        <f>IFERROR(IF(P$58&gt;='CBA Inputs'!$R29,MAX('CBA Inputs'!$O29-'CBA Inputs'!$O29/'CBA Inputs'!$S29*(P$58-'CBA Inputs'!$R29+1),0),0)*IF(P$58=FirstYear+AnalysisPeriod-1,1,0),0)*CapitalCost_ACTIVE*P$55*IF(Scenario_Select='CBA Inputs'!$T29,1,0)</f>
        <v>0</v>
      </c>
      <c r="BB105" s="17">
        <f>IFERROR(IF(Q$58&gt;='CBA Inputs'!$R29,MAX('CBA Inputs'!$O29-'CBA Inputs'!$O29/'CBA Inputs'!$S29*(Q$58-'CBA Inputs'!$R29+1),0),0)*IF(Q$58=FirstYear+AnalysisPeriod-1,1,0),0)*CapitalCost_ACTIVE*Q$55*IF(Scenario_Select='CBA Inputs'!$T29,1,0)</f>
        <v>0</v>
      </c>
      <c r="BC105" s="17">
        <f>IFERROR(IF(R$58&gt;='CBA Inputs'!$R29,MAX('CBA Inputs'!$O29-'CBA Inputs'!$O29/'CBA Inputs'!$S29*(R$58-'CBA Inputs'!$R29+1),0),0)*IF(R$58=FirstYear+AnalysisPeriod-1,1,0),0)*CapitalCost_ACTIVE*R$55*IF(Scenario_Select='CBA Inputs'!$T29,1,0)</f>
        <v>0</v>
      </c>
      <c r="BD105" s="17">
        <f>IFERROR(IF(S$58&gt;='CBA Inputs'!$R29,MAX('CBA Inputs'!$O29-'CBA Inputs'!$O29/'CBA Inputs'!$S29*(S$58-'CBA Inputs'!$R29+1),0),0)*IF(S$58=FirstYear+AnalysisPeriod-1,1,0),0)*CapitalCost_ACTIVE*S$55*IF(Scenario_Select='CBA Inputs'!$T29,1,0)</f>
        <v>0</v>
      </c>
      <c r="BE105" s="17">
        <f>IFERROR(IF(T$58&gt;='CBA Inputs'!$R29,MAX('CBA Inputs'!$O29-'CBA Inputs'!$O29/'CBA Inputs'!$S29*(T$58-'CBA Inputs'!$R29+1),0),0)*IF(T$58=FirstYear+AnalysisPeriod-1,1,0),0)*CapitalCost_ACTIVE*T$55*IF(Scenario_Select='CBA Inputs'!$T29,1,0)</f>
        <v>0</v>
      </c>
      <c r="BF105" s="17">
        <f>IFERROR(IF(U$58&gt;='CBA Inputs'!$R29,MAX('CBA Inputs'!$O29-'CBA Inputs'!$O29/'CBA Inputs'!$S29*(U$58-'CBA Inputs'!$R29+1),0),0)*IF(U$58=FirstYear+AnalysisPeriod-1,1,0),0)*CapitalCost_ACTIVE*U$55*IF(Scenario_Select='CBA Inputs'!$T29,1,0)</f>
        <v>0</v>
      </c>
      <c r="BG105" s="17">
        <f>IFERROR(IF(V$58&gt;='CBA Inputs'!$R29,MAX('CBA Inputs'!$O29-'CBA Inputs'!$O29/'CBA Inputs'!$S29*(V$58-'CBA Inputs'!$R29+1),0),0)*IF(V$58=FirstYear+AnalysisPeriod-1,1,0),0)*CapitalCost_ACTIVE*V$55*IF(Scenario_Select='CBA Inputs'!$T29,1,0)</f>
        <v>0</v>
      </c>
      <c r="BH105" s="17">
        <f>IFERROR(IF(W$58&gt;='CBA Inputs'!$R29,MAX('CBA Inputs'!$O29-'CBA Inputs'!$O29/'CBA Inputs'!$S29*(W$58-'CBA Inputs'!$R29+1),0),0)*IF(W$58=FirstYear+AnalysisPeriod-1,1,0),0)*CapitalCost_ACTIVE*W$55*IF(Scenario_Select='CBA Inputs'!$T29,1,0)</f>
        <v>0</v>
      </c>
      <c r="BI105" s="17">
        <f>IFERROR(IF(X$58&gt;='CBA Inputs'!$R29,MAX('CBA Inputs'!$O29-'CBA Inputs'!$O29/'CBA Inputs'!$S29*(X$58-'CBA Inputs'!$R29+1),0),0)*IF(X$58=FirstYear+AnalysisPeriod-1,1,0),0)*CapitalCost_ACTIVE*X$55*IF(Scenario_Select='CBA Inputs'!$T29,1,0)</f>
        <v>0</v>
      </c>
      <c r="BJ105" s="17">
        <f>IFERROR(IF(Y$58&gt;='CBA Inputs'!$R29,MAX('CBA Inputs'!$O29-'CBA Inputs'!$O29/'CBA Inputs'!$S29*(Y$58-'CBA Inputs'!$R29+1),0),0)*IF(Y$58=FirstYear+AnalysisPeriod-1,1,0),0)*CapitalCost_ACTIVE*Y$55*IF(Scenario_Select='CBA Inputs'!$T29,1,0)</f>
        <v>0</v>
      </c>
      <c r="BK105" s="17">
        <f>IFERROR(IF(Z$58&gt;='CBA Inputs'!$R29,MAX('CBA Inputs'!$O29-'CBA Inputs'!$O29/'CBA Inputs'!$S29*(Z$58-'CBA Inputs'!$R29+1),0),0)*IF(Z$58=FirstYear+AnalysisPeriod-1,1,0),0)*CapitalCost_ACTIVE*Z$55*IF(Scenario_Select='CBA Inputs'!$T29,1,0)</f>
        <v>0</v>
      </c>
      <c r="BL105" s="17">
        <f>IFERROR(IF(AA$58&gt;='CBA Inputs'!$R29,MAX('CBA Inputs'!$O29-'CBA Inputs'!$O29/'CBA Inputs'!$S29*(AA$58-'CBA Inputs'!$R29+1),0),0)*IF(AA$58=FirstYear+AnalysisPeriod-1,1,0),0)*CapitalCost_ACTIVE*AA$55*IF(Scenario_Select='CBA Inputs'!$T29,1,0)</f>
        <v>0</v>
      </c>
      <c r="BM105" s="17">
        <f>IFERROR(IF(AB$58&gt;='CBA Inputs'!$R29,MAX('CBA Inputs'!$O29-'CBA Inputs'!$O29/'CBA Inputs'!$S29*(AB$58-'CBA Inputs'!$R29+1),0),0)*IF(AB$58=FirstYear+AnalysisPeriod-1,1,0),0)*CapitalCost_ACTIVE*AB$55*IF(Scenario_Select='CBA Inputs'!$T29,1,0)</f>
        <v>0</v>
      </c>
      <c r="BN105" s="17">
        <f>IFERROR(IF(AC$58&gt;='CBA Inputs'!$R29,MAX('CBA Inputs'!$O29-'CBA Inputs'!$O29/'CBA Inputs'!$S29*(AC$58-'CBA Inputs'!$R29+1),0),0)*IF(AC$58=FirstYear+AnalysisPeriod-1,1,0),0)*CapitalCost_ACTIVE*AC$55*IF(Scenario_Select='CBA Inputs'!$T29,1,0)</f>
        <v>0</v>
      </c>
      <c r="BO105" s="17">
        <f>IFERROR(IF(AD$58&gt;='CBA Inputs'!$R29,MAX('CBA Inputs'!$O29-'CBA Inputs'!$O29/'CBA Inputs'!$S29*(AD$58-'CBA Inputs'!$R29+1),0),0)*IF(AD$58=FirstYear+AnalysisPeriod-1,1,0),0)*CapitalCost_ACTIVE*AD$55*IF(Scenario_Select='CBA Inputs'!$T29,1,0)</f>
        <v>0</v>
      </c>
      <c r="BP105" s="17">
        <f>IFERROR(IF(AE$58&gt;='CBA Inputs'!$R29,MAX('CBA Inputs'!$O29-'CBA Inputs'!$O29/'CBA Inputs'!$S29*(AE$58-'CBA Inputs'!$R29+1),0),0)*IF(AE$58=FirstYear+AnalysisPeriod-1,1,0),0)*CapitalCost_ACTIVE*AE$55*IF(Scenario_Select='CBA Inputs'!$T29,1,0)</f>
        <v>0</v>
      </c>
      <c r="BQ105" s="17">
        <f>IFERROR(IF(AF$58&gt;='CBA Inputs'!$R29,MAX('CBA Inputs'!$O29-'CBA Inputs'!$O29/'CBA Inputs'!$S29*(AF$58-'CBA Inputs'!$R29+1),0),0)*IF(AF$58=FirstYear+AnalysisPeriod-1,1,0),0)*CapitalCost_ACTIVE*AF$55*IF(Scenario_Select='CBA Inputs'!$T29,1,0)</f>
        <v>0</v>
      </c>
      <c r="BR105" s="17">
        <f>IFERROR(IF(AG$58&gt;='CBA Inputs'!$R29,MAX('CBA Inputs'!$O29-'CBA Inputs'!$O29/'CBA Inputs'!$S29*(AG$58-'CBA Inputs'!$R29+1),0),0)*IF(AG$58=FirstYear+AnalysisPeriod-1,1,0),0)*CapitalCost_ACTIVE*AG$55*IF(Scenario_Select='CBA Inputs'!$T29,1,0)</f>
        <v>0</v>
      </c>
      <c r="BS105" s="17">
        <f>IFERROR(IF(AH$58&gt;='CBA Inputs'!$R29,MAX('CBA Inputs'!$O29-'CBA Inputs'!$O29/'CBA Inputs'!$S29*(AH$58-'CBA Inputs'!$R29+1),0),0)*IF(AH$58=FirstYear+AnalysisPeriod-1,1,0),0)*CapitalCost_ACTIVE*AH$55*IF(Scenario_Select='CBA Inputs'!$T29,1,0)</f>
        <v>0</v>
      </c>
      <c r="BT105" s="17">
        <f>IFERROR(IF(AI$58&gt;='CBA Inputs'!$R29,MAX('CBA Inputs'!$O29-'CBA Inputs'!$O29/'CBA Inputs'!$S29*(AI$58-'CBA Inputs'!$R29+1),0),0)*IF(AI$58=FirstYear+AnalysisPeriod-1,1,0),0)*CapitalCost_ACTIVE*AI$55*IF(Scenario_Select='CBA Inputs'!$T29,1,0)</f>
        <v>0</v>
      </c>
      <c r="BU105" s="17">
        <f>IFERROR(IF(AJ$58&gt;='CBA Inputs'!$R29,MAX('CBA Inputs'!$O29-'CBA Inputs'!$O29/'CBA Inputs'!$S29*(AJ$58-'CBA Inputs'!$R29+1),0),0)*IF(AJ$58=FirstYear+AnalysisPeriod-1,1,0),0)*CapitalCost_ACTIVE*AJ$55*IF(Scenario_Select='CBA Inputs'!$T29,1,0)</f>
        <v>0</v>
      </c>
    </row>
    <row r="106" spans="1:73" x14ac:dyDescent="0.35">
      <c r="B106" s="9">
        <f t="shared" si="30"/>
        <v>6</v>
      </c>
      <c r="C106" s="26" t="str">
        <f t="shared" si="30"/>
        <v>Option 2C</v>
      </c>
      <c r="D106" s="26" t="str">
        <f t="shared" si="33"/>
        <v>Lines</v>
      </c>
      <c r="E106" s="12" t="s">
        <v>35</v>
      </c>
      <c r="F106" s="18">
        <f t="shared" si="34"/>
        <v>149435143.9834083</v>
      </c>
      <c r="G106" s="17">
        <f>IFERROR(IF(G$58&gt;='CBA Inputs'!$H30,MAX('CBA Inputs'!$E30-'CBA Inputs'!$E30/'CBA Inputs'!$I30*(G$58-'CBA Inputs'!$H30+1),0),0)*IF(G$58=FirstYear+AnalysisPeriod-1,1,0),0)*CapitalCost_ACTIVE*G$55</f>
        <v>0</v>
      </c>
      <c r="H106" s="17">
        <f>IFERROR(IF(H$58&gt;='CBA Inputs'!$H30,MAX('CBA Inputs'!$E30-'CBA Inputs'!$E30/'CBA Inputs'!$I30*(H$58-'CBA Inputs'!$H30+1),0),0)*IF(H$58=FirstYear+AnalysisPeriod-1,1,0),0)*CapitalCost_ACTIVE*H$55</f>
        <v>0</v>
      </c>
      <c r="I106" s="17">
        <f>IFERROR(IF(I$58&gt;='CBA Inputs'!$H30,MAX('CBA Inputs'!$E30-'CBA Inputs'!$E30/'CBA Inputs'!$I30*(I$58-'CBA Inputs'!$H30+1),0),0)*IF(I$58=FirstYear+AnalysisPeriod-1,1,0),0)*CapitalCost_ACTIVE*I$55</f>
        <v>0</v>
      </c>
      <c r="J106" s="17">
        <f>IFERROR(IF(J$58&gt;='CBA Inputs'!$H30,MAX('CBA Inputs'!$E30-'CBA Inputs'!$E30/'CBA Inputs'!$I30*(J$58-'CBA Inputs'!$H30+1),0),0)*IF(J$58=FirstYear+AnalysisPeriod-1,1,0),0)*CapitalCost_ACTIVE*J$55</f>
        <v>0</v>
      </c>
      <c r="K106" s="17">
        <f>IFERROR(IF(K$58&gt;='CBA Inputs'!$H30,MAX('CBA Inputs'!$E30-'CBA Inputs'!$E30/'CBA Inputs'!$I30*(K$58-'CBA Inputs'!$H30+1),0),0)*IF(K$58=FirstYear+AnalysisPeriod-1,1,0),0)*CapitalCost_ACTIVE*K$55</f>
        <v>0</v>
      </c>
      <c r="L106" s="17">
        <f>IFERROR(IF(L$58&gt;='CBA Inputs'!$H30,MAX('CBA Inputs'!$E30-'CBA Inputs'!$E30/'CBA Inputs'!$I30*(L$58-'CBA Inputs'!$H30+1),0),0)*IF(L$58=FirstYear+AnalysisPeriod-1,1,0),0)*CapitalCost_ACTIVE*L$55</f>
        <v>0</v>
      </c>
      <c r="M106" s="17">
        <f>IFERROR(IF(M$58&gt;='CBA Inputs'!$H30,MAX('CBA Inputs'!$E30-'CBA Inputs'!$E30/'CBA Inputs'!$I30*(M$58-'CBA Inputs'!$H30+1),0),0)*IF(M$58=FirstYear+AnalysisPeriod-1,1,0),0)*CapitalCost_ACTIVE*M$55</f>
        <v>0</v>
      </c>
      <c r="N106" s="17">
        <f>IFERROR(IF(N$58&gt;='CBA Inputs'!$H30,MAX('CBA Inputs'!$E30-'CBA Inputs'!$E30/'CBA Inputs'!$I30*(N$58-'CBA Inputs'!$H30+1),0),0)*IF(N$58=FirstYear+AnalysisPeriod-1,1,0),0)*CapitalCost_ACTIVE*N$55</f>
        <v>0</v>
      </c>
      <c r="O106" s="17">
        <f>IFERROR(IF(O$58&gt;='CBA Inputs'!$H30,MAX('CBA Inputs'!$E30-'CBA Inputs'!$E30/'CBA Inputs'!$I30*(O$58-'CBA Inputs'!$H30+1),0),0)*IF(O$58=FirstYear+AnalysisPeriod-1,1,0),0)*CapitalCost_ACTIVE*O$55</f>
        <v>0</v>
      </c>
      <c r="P106" s="17">
        <f>IFERROR(IF(P$58&gt;='CBA Inputs'!$H30,MAX('CBA Inputs'!$E30-'CBA Inputs'!$E30/'CBA Inputs'!$I30*(P$58-'CBA Inputs'!$H30+1),0),0)*IF(P$58=FirstYear+AnalysisPeriod-1,1,0),0)*CapitalCost_ACTIVE*P$55</f>
        <v>0</v>
      </c>
      <c r="Q106" s="17">
        <f>IFERROR(IF(Q$58&gt;='CBA Inputs'!$H30,MAX('CBA Inputs'!$E30-'CBA Inputs'!$E30/'CBA Inputs'!$I30*(Q$58-'CBA Inputs'!$H30+1),0),0)*IF(Q$58=FirstYear+AnalysisPeriod-1,1,0),0)*CapitalCost_ACTIVE*Q$55</f>
        <v>0</v>
      </c>
      <c r="R106" s="17">
        <f>IFERROR(IF(R$58&gt;='CBA Inputs'!$H30,MAX('CBA Inputs'!$E30-'CBA Inputs'!$E30/'CBA Inputs'!$I30*(R$58-'CBA Inputs'!$H30+1),0),0)*IF(R$58=FirstYear+AnalysisPeriod-1,1,0),0)*CapitalCost_ACTIVE*R$55</f>
        <v>0</v>
      </c>
      <c r="S106" s="17">
        <f>IFERROR(IF(S$58&gt;='CBA Inputs'!$H30,MAX('CBA Inputs'!$E30-'CBA Inputs'!$E30/'CBA Inputs'!$I30*(S$58-'CBA Inputs'!$H30+1),0),0)*IF(S$58=FirstYear+AnalysisPeriod-1,1,0),0)*CapitalCost_ACTIVE*S$55</f>
        <v>0</v>
      </c>
      <c r="T106" s="17">
        <f>IFERROR(IF(T$58&gt;='CBA Inputs'!$H30,MAX('CBA Inputs'!$E30-'CBA Inputs'!$E30/'CBA Inputs'!$I30*(T$58-'CBA Inputs'!$H30+1),0),0)*IF(T$58=FirstYear+AnalysisPeriod-1,1,0),0)*CapitalCost_ACTIVE*T$55</f>
        <v>0</v>
      </c>
      <c r="U106" s="17">
        <f>IFERROR(IF(U$58&gt;='CBA Inputs'!$H30,MAX('CBA Inputs'!$E30-'CBA Inputs'!$E30/'CBA Inputs'!$I30*(U$58-'CBA Inputs'!$H30+1),0),0)*IF(U$58=FirstYear+AnalysisPeriod-1,1,0),0)*CapitalCost_ACTIVE*U$55</f>
        <v>0</v>
      </c>
      <c r="V106" s="17">
        <f>IFERROR(IF(V$58&gt;='CBA Inputs'!$H30,MAX('CBA Inputs'!$E30-'CBA Inputs'!$E30/'CBA Inputs'!$I30*(V$58-'CBA Inputs'!$H30+1),0),0)*IF(V$58=FirstYear+AnalysisPeriod-1,1,0),0)*CapitalCost_ACTIVE*V$55</f>
        <v>0</v>
      </c>
      <c r="W106" s="17">
        <f>IFERROR(IF(W$58&gt;='CBA Inputs'!$H30,MAX('CBA Inputs'!$E30-'CBA Inputs'!$E30/'CBA Inputs'!$I30*(W$58-'CBA Inputs'!$H30+1),0),0)*IF(W$58=FirstYear+AnalysisPeriod-1,1,0),0)*CapitalCost_ACTIVE*W$55</f>
        <v>0</v>
      </c>
      <c r="X106" s="17">
        <f>IFERROR(IF(X$58&gt;='CBA Inputs'!$H30,MAX('CBA Inputs'!$E30-'CBA Inputs'!$E30/'CBA Inputs'!$I30*(X$58-'CBA Inputs'!$H30+1),0),0)*IF(X$58=FirstYear+AnalysisPeriod-1,1,0),0)*CapitalCost_ACTIVE*X$55</f>
        <v>0</v>
      </c>
      <c r="Y106" s="17">
        <f>IFERROR(IF(Y$58&gt;='CBA Inputs'!$H30,MAX('CBA Inputs'!$E30-'CBA Inputs'!$E30/'CBA Inputs'!$I30*(Y$58-'CBA Inputs'!$H30+1),0),0)*IF(Y$58=FirstYear+AnalysisPeriod-1,1,0),0)*CapitalCost_ACTIVE*Y$55</f>
        <v>0</v>
      </c>
      <c r="Z106" s="17">
        <f>IFERROR(IF(Z$58&gt;='CBA Inputs'!$H30,MAX('CBA Inputs'!$E30-'CBA Inputs'!$E30/'CBA Inputs'!$I30*(Z$58-'CBA Inputs'!$H30+1),0),0)*IF(Z$58=FirstYear+AnalysisPeriod-1,1,0),0)*CapitalCost_ACTIVE*Z$55</f>
        <v>0</v>
      </c>
      <c r="AA106" s="17">
        <f>IFERROR(IF(AA$58&gt;='CBA Inputs'!$H30,MAX('CBA Inputs'!$E30-'CBA Inputs'!$E30/'CBA Inputs'!$I30*(AA$58-'CBA Inputs'!$H30+1),0),0)*IF(AA$58=FirstYear+AnalysisPeriod-1,1,0),0)*CapitalCost_ACTIVE*AA$55</f>
        <v>0</v>
      </c>
      <c r="AB106" s="17">
        <f>IFERROR(IF(AB$58&gt;='CBA Inputs'!$H30,MAX('CBA Inputs'!$E30-'CBA Inputs'!$E30/'CBA Inputs'!$I30*(AB$58-'CBA Inputs'!$H30+1),0),0)*IF(AB$58=FirstYear+AnalysisPeriod-1,1,0),0)*CapitalCost_ACTIVE*AB$55</f>
        <v>0</v>
      </c>
      <c r="AC106" s="17">
        <f>IFERROR(IF(AC$58&gt;='CBA Inputs'!$H30,MAX('CBA Inputs'!$E30-'CBA Inputs'!$E30/'CBA Inputs'!$I30*(AC$58-'CBA Inputs'!$H30+1),0),0)*IF(AC$58=FirstYear+AnalysisPeriod-1,1,0),0)*CapitalCost_ACTIVE*AC$55</f>
        <v>0</v>
      </c>
      <c r="AD106" s="17">
        <f>IFERROR(IF(AD$58&gt;='CBA Inputs'!$H30,MAX('CBA Inputs'!$E30-'CBA Inputs'!$E30/'CBA Inputs'!$I30*(AD$58-'CBA Inputs'!$H30+1),0),0)*IF(AD$58=FirstYear+AnalysisPeriod-1,1,0),0)*CapitalCost_ACTIVE*AD$55</f>
        <v>0</v>
      </c>
      <c r="AE106" s="17">
        <f>IFERROR(IF(AE$58&gt;='CBA Inputs'!$H30,MAX('CBA Inputs'!$E30-'CBA Inputs'!$E30/'CBA Inputs'!$I30*(AE$58-'CBA Inputs'!$H30+1),0),0)*IF(AE$58=FirstYear+AnalysisPeriod-1,1,0),0)*CapitalCost_ACTIVE*AE$55</f>
        <v>0</v>
      </c>
      <c r="AF106" s="17">
        <f>IFERROR(IF(AF$58&gt;='CBA Inputs'!$H30,MAX('CBA Inputs'!$E30-'CBA Inputs'!$E30/'CBA Inputs'!$I30*(AF$58-'CBA Inputs'!$H30+1),0),0)*IF(AF$58=FirstYear+AnalysisPeriod-1,1,0),0)*CapitalCost_ACTIVE*AF$55</f>
        <v>626400000</v>
      </c>
      <c r="AG106" s="17">
        <f>IFERROR(IF(AG$58&gt;='CBA Inputs'!$H30,MAX('CBA Inputs'!$E30-'CBA Inputs'!$E30/'CBA Inputs'!$I30*(AG$58-'CBA Inputs'!$H30+1),0),0)*IF(AG$58=FirstYear+AnalysisPeriod-1,1,0),0)*CapitalCost_ACTIVE*AG$55</f>
        <v>0</v>
      </c>
      <c r="AH106" s="17">
        <f>IFERROR(IF(AH$58&gt;='CBA Inputs'!$H30,MAX('CBA Inputs'!$E30-'CBA Inputs'!$E30/'CBA Inputs'!$I30*(AH$58-'CBA Inputs'!$H30+1),0),0)*IF(AH$58=FirstYear+AnalysisPeriod-1,1,0),0)*CapitalCost_ACTIVE*AH$55</f>
        <v>0</v>
      </c>
      <c r="AI106" s="17">
        <f>IFERROR(IF(AI$58&gt;='CBA Inputs'!$H30,MAX('CBA Inputs'!$E30-'CBA Inputs'!$E30/'CBA Inputs'!$I30*(AI$58-'CBA Inputs'!$H30+1),0),0)*IF(AI$58=FirstYear+AnalysisPeriod-1,1,0),0)*CapitalCost_ACTIVE*AI$55</f>
        <v>0</v>
      </c>
      <c r="AJ106" s="17">
        <f>IFERROR(IF(AJ$58&gt;='CBA Inputs'!$H30,MAX('CBA Inputs'!$E30-'CBA Inputs'!$E30/'CBA Inputs'!$I30*(AJ$58-'CBA Inputs'!$H30+1),0),0)*IF(AJ$58=FirstYear+AnalysisPeriod-1,1,0),0)*CapitalCost_ACTIVE*AJ$55</f>
        <v>0</v>
      </c>
      <c r="AM106" s="9">
        <f t="shared" si="35"/>
        <v>8</v>
      </c>
      <c r="AN106" s="26" t="str">
        <f t="shared" si="35"/>
        <v>Option 3B</v>
      </c>
      <c r="AO106" s="26" t="str">
        <f t="shared" si="35"/>
        <v>Substation</v>
      </c>
      <c r="AP106" s="12" t="s">
        <v>35</v>
      </c>
      <c r="AQ106" s="18">
        <f t="shared" si="36"/>
        <v>0</v>
      </c>
      <c r="AR106" s="17">
        <f>IFERROR(IF(G$58&gt;='CBA Inputs'!$R30,MAX('CBA Inputs'!$O30-'CBA Inputs'!$O30/'CBA Inputs'!$S30*(G$58-'CBA Inputs'!$R30+1),0),0)*IF(G$58=FirstYear+AnalysisPeriod-1,1,0),0)*CapitalCost_ACTIVE*G$55*IF(Scenario_Select='CBA Inputs'!$T30,1,0)</f>
        <v>0</v>
      </c>
      <c r="AS106" s="17">
        <f>IFERROR(IF(H$58&gt;='CBA Inputs'!$R30,MAX('CBA Inputs'!$O30-'CBA Inputs'!$O30/'CBA Inputs'!$S30*(H$58-'CBA Inputs'!$R30+1),0),0)*IF(H$58=FirstYear+AnalysisPeriod-1,1,0),0)*CapitalCost_ACTIVE*H$55*IF(Scenario_Select='CBA Inputs'!$T30,1,0)</f>
        <v>0</v>
      </c>
      <c r="AT106" s="17">
        <f>IFERROR(IF(I$58&gt;='CBA Inputs'!$R30,MAX('CBA Inputs'!$O30-'CBA Inputs'!$O30/'CBA Inputs'!$S30*(I$58-'CBA Inputs'!$R30+1),0),0)*IF(I$58=FirstYear+AnalysisPeriod-1,1,0),0)*CapitalCost_ACTIVE*I$55*IF(Scenario_Select='CBA Inputs'!$T30,1,0)</f>
        <v>0</v>
      </c>
      <c r="AU106" s="17">
        <f>IFERROR(IF(J$58&gt;='CBA Inputs'!$R30,MAX('CBA Inputs'!$O30-'CBA Inputs'!$O30/'CBA Inputs'!$S30*(J$58-'CBA Inputs'!$R30+1),0),0)*IF(J$58=FirstYear+AnalysisPeriod-1,1,0),0)*CapitalCost_ACTIVE*J$55*IF(Scenario_Select='CBA Inputs'!$T30,1,0)</f>
        <v>0</v>
      </c>
      <c r="AV106" s="17">
        <f>IFERROR(IF(K$58&gt;='CBA Inputs'!$R30,MAX('CBA Inputs'!$O30-'CBA Inputs'!$O30/'CBA Inputs'!$S30*(K$58-'CBA Inputs'!$R30+1),0),0)*IF(K$58=FirstYear+AnalysisPeriod-1,1,0),0)*CapitalCost_ACTIVE*K$55*IF(Scenario_Select='CBA Inputs'!$T30,1,0)</f>
        <v>0</v>
      </c>
      <c r="AW106" s="17">
        <f>IFERROR(IF(L$58&gt;='CBA Inputs'!$R30,MAX('CBA Inputs'!$O30-'CBA Inputs'!$O30/'CBA Inputs'!$S30*(L$58-'CBA Inputs'!$R30+1),0),0)*IF(L$58=FirstYear+AnalysisPeriod-1,1,0),0)*CapitalCost_ACTIVE*L$55*IF(Scenario_Select='CBA Inputs'!$T30,1,0)</f>
        <v>0</v>
      </c>
      <c r="AX106" s="17">
        <f>IFERROR(IF(M$58&gt;='CBA Inputs'!$R30,MAX('CBA Inputs'!$O30-'CBA Inputs'!$O30/'CBA Inputs'!$S30*(M$58-'CBA Inputs'!$R30+1),0),0)*IF(M$58=FirstYear+AnalysisPeriod-1,1,0),0)*CapitalCost_ACTIVE*M$55*IF(Scenario_Select='CBA Inputs'!$T30,1,0)</f>
        <v>0</v>
      </c>
      <c r="AY106" s="17">
        <f>IFERROR(IF(N$58&gt;='CBA Inputs'!$R30,MAX('CBA Inputs'!$O30-'CBA Inputs'!$O30/'CBA Inputs'!$S30*(N$58-'CBA Inputs'!$R30+1),0),0)*IF(N$58=FirstYear+AnalysisPeriod-1,1,0),0)*CapitalCost_ACTIVE*N$55*IF(Scenario_Select='CBA Inputs'!$T30,1,0)</f>
        <v>0</v>
      </c>
      <c r="AZ106" s="17">
        <f>IFERROR(IF(O$58&gt;='CBA Inputs'!$R30,MAX('CBA Inputs'!$O30-'CBA Inputs'!$O30/'CBA Inputs'!$S30*(O$58-'CBA Inputs'!$R30+1),0),0)*IF(O$58=FirstYear+AnalysisPeriod-1,1,0),0)*CapitalCost_ACTIVE*O$55*IF(Scenario_Select='CBA Inputs'!$T30,1,0)</f>
        <v>0</v>
      </c>
      <c r="BA106" s="17">
        <f>IFERROR(IF(P$58&gt;='CBA Inputs'!$R30,MAX('CBA Inputs'!$O30-'CBA Inputs'!$O30/'CBA Inputs'!$S30*(P$58-'CBA Inputs'!$R30+1),0),0)*IF(P$58=FirstYear+AnalysisPeriod-1,1,0),0)*CapitalCost_ACTIVE*P$55*IF(Scenario_Select='CBA Inputs'!$T30,1,0)</f>
        <v>0</v>
      </c>
      <c r="BB106" s="17">
        <f>IFERROR(IF(Q$58&gt;='CBA Inputs'!$R30,MAX('CBA Inputs'!$O30-'CBA Inputs'!$O30/'CBA Inputs'!$S30*(Q$58-'CBA Inputs'!$R30+1),0),0)*IF(Q$58=FirstYear+AnalysisPeriod-1,1,0),0)*CapitalCost_ACTIVE*Q$55*IF(Scenario_Select='CBA Inputs'!$T30,1,0)</f>
        <v>0</v>
      </c>
      <c r="BC106" s="17">
        <f>IFERROR(IF(R$58&gt;='CBA Inputs'!$R30,MAX('CBA Inputs'!$O30-'CBA Inputs'!$O30/'CBA Inputs'!$S30*(R$58-'CBA Inputs'!$R30+1),0),0)*IF(R$58=FirstYear+AnalysisPeriod-1,1,0),0)*CapitalCost_ACTIVE*R$55*IF(Scenario_Select='CBA Inputs'!$T30,1,0)</f>
        <v>0</v>
      </c>
      <c r="BD106" s="17">
        <f>IFERROR(IF(S$58&gt;='CBA Inputs'!$R30,MAX('CBA Inputs'!$O30-'CBA Inputs'!$O30/'CBA Inputs'!$S30*(S$58-'CBA Inputs'!$R30+1),0),0)*IF(S$58=FirstYear+AnalysisPeriod-1,1,0),0)*CapitalCost_ACTIVE*S$55*IF(Scenario_Select='CBA Inputs'!$T30,1,0)</f>
        <v>0</v>
      </c>
      <c r="BE106" s="17">
        <f>IFERROR(IF(T$58&gt;='CBA Inputs'!$R30,MAX('CBA Inputs'!$O30-'CBA Inputs'!$O30/'CBA Inputs'!$S30*(T$58-'CBA Inputs'!$R30+1),0),0)*IF(T$58=FirstYear+AnalysisPeriod-1,1,0),0)*CapitalCost_ACTIVE*T$55*IF(Scenario_Select='CBA Inputs'!$T30,1,0)</f>
        <v>0</v>
      </c>
      <c r="BF106" s="17">
        <f>IFERROR(IF(U$58&gt;='CBA Inputs'!$R30,MAX('CBA Inputs'!$O30-'CBA Inputs'!$O30/'CBA Inputs'!$S30*(U$58-'CBA Inputs'!$R30+1),0),0)*IF(U$58=FirstYear+AnalysisPeriod-1,1,0),0)*CapitalCost_ACTIVE*U$55*IF(Scenario_Select='CBA Inputs'!$T30,1,0)</f>
        <v>0</v>
      </c>
      <c r="BG106" s="17">
        <f>IFERROR(IF(V$58&gt;='CBA Inputs'!$R30,MAX('CBA Inputs'!$O30-'CBA Inputs'!$O30/'CBA Inputs'!$S30*(V$58-'CBA Inputs'!$R30+1),0),0)*IF(V$58=FirstYear+AnalysisPeriod-1,1,0),0)*CapitalCost_ACTIVE*V$55*IF(Scenario_Select='CBA Inputs'!$T30,1,0)</f>
        <v>0</v>
      </c>
      <c r="BH106" s="17">
        <f>IFERROR(IF(W$58&gt;='CBA Inputs'!$R30,MAX('CBA Inputs'!$O30-'CBA Inputs'!$O30/'CBA Inputs'!$S30*(W$58-'CBA Inputs'!$R30+1),0),0)*IF(W$58=FirstYear+AnalysisPeriod-1,1,0),0)*CapitalCost_ACTIVE*W$55*IF(Scenario_Select='CBA Inputs'!$T30,1,0)</f>
        <v>0</v>
      </c>
      <c r="BI106" s="17">
        <f>IFERROR(IF(X$58&gt;='CBA Inputs'!$R30,MAX('CBA Inputs'!$O30-'CBA Inputs'!$O30/'CBA Inputs'!$S30*(X$58-'CBA Inputs'!$R30+1),0),0)*IF(X$58=FirstYear+AnalysisPeriod-1,1,0),0)*CapitalCost_ACTIVE*X$55*IF(Scenario_Select='CBA Inputs'!$T30,1,0)</f>
        <v>0</v>
      </c>
      <c r="BJ106" s="17">
        <f>IFERROR(IF(Y$58&gt;='CBA Inputs'!$R30,MAX('CBA Inputs'!$O30-'CBA Inputs'!$O30/'CBA Inputs'!$S30*(Y$58-'CBA Inputs'!$R30+1),0),0)*IF(Y$58=FirstYear+AnalysisPeriod-1,1,0),0)*CapitalCost_ACTIVE*Y$55*IF(Scenario_Select='CBA Inputs'!$T30,1,0)</f>
        <v>0</v>
      </c>
      <c r="BK106" s="17">
        <f>IFERROR(IF(Z$58&gt;='CBA Inputs'!$R30,MAX('CBA Inputs'!$O30-'CBA Inputs'!$O30/'CBA Inputs'!$S30*(Z$58-'CBA Inputs'!$R30+1),0),0)*IF(Z$58=FirstYear+AnalysisPeriod-1,1,0),0)*CapitalCost_ACTIVE*Z$55*IF(Scenario_Select='CBA Inputs'!$T30,1,0)</f>
        <v>0</v>
      </c>
      <c r="BL106" s="17">
        <f>IFERROR(IF(AA$58&gt;='CBA Inputs'!$R30,MAX('CBA Inputs'!$O30-'CBA Inputs'!$O30/'CBA Inputs'!$S30*(AA$58-'CBA Inputs'!$R30+1),0),0)*IF(AA$58=FirstYear+AnalysisPeriod-1,1,0),0)*CapitalCost_ACTIVE*AA$55*IF(Scenario_Select='CBA Inputs'!$T30,1,0)</f>
        <v>0</v>
      </c>
      <c r="BM106" s="17">
        <f>IFERROR(IF(AB$58&gt;='CBA Inputs'!$R30,MAX('CBA Inputs'!$O30-'CBA Inputs'!$O30/'CBA Inputs'!$S30*(AB$58-'CBA Inputs'!$R30+1),0),0)*IF(AB$58=FirstYear+AnalysisPeriod-1,1,0),0)*CapitalCost_ACTIVE*AB$55*IF(Scenario_Select='CBA Inputs'!$T30,1,0)</f>
        <v>0</v>
      </c>
      <c r="BN106" s="17">
        <f>IFERROR(IF(AC$58&gt;='CBA Inputs'!$R30,MAX('CBA Inputs'!$O30-'CBA Inputs'!$O30/'CBA Inputs'!$S30*(AC$58-'CBA Inputs'!$R30+1),0),0)*IF(AC$58=FirstYear+AnalysisPeriod-1,1,0),0)*CapitalCost_ACTIVE*AC$55*IF(Scenario_Select='CBA Inputs'!$T30,1,0)</f>
        <v>0</v>
      </c>
      <c r="BO106" s="17">
        <f>IFERROR(IF(AD$58&gt;='CBA Inputs'!$R30,MAX('CBA Inputs'!$O30-'CBA Inputs'!$O30/'CBA Inputs'!$S30*(AD$58-'CBA Inputs'!$R30+1),0),0)*IF(AD$58=FirstYear+AnalysisPeriod-1,1,0),0)*CapitalCost_ACTIVE*AD$55*IF(Scenario_Select='CBA Inputs'!$T30,1,0)</f>
        <v>0</v>
      </c>
      <c r="BP106" s="17">
        <f>IFERROR(IF(AE$58&gt;='CBA Inputs'!$R30,MAX('CBA Inputs'!$O30-'CBA Inputs'!$O30/'CBA Inputs'!$S30*(AE$58-'CBA Inputs'!$R30+1),0),0)*IF(AE$58=FirstYear+AnalysisPeriod-1,1,0),0)*CapitalCost_ACTIVE*AE$55*IF(Scenario_Select='CBA Inputs'!$T30,1,0)</f>
        <v>0</v>
      </c>
      <c r="BQ106" s="17">
        <f>IFERROR(IF(AF$58&gt;='CBA Inputs'!$R30,MAX('CBA Inputs'!$O30-'CBA Inputs'!$O30/'CBA Inputs'!$S30*(AF$58-'CBA Inputs'!$R30+1),0),0)*IF(AF$58=FirstYear+AnalysisPeriod-1,1,0),0)*CapitalCost_ACTIVE*AF$55*IF(Scenario_Select='CBA Inputs'!$T30,1,0)</f>
        <v>0</v>
      </c>
      <c r="BR106" s="17">
        <f>IFERROR(IF(AG$58&gt;='CBA Inputs'!$R30,MAX('CBA Inputs'!$O30-'CBA Inputs'!$O30/'CBA Inputs'!$S30*(AG$58-'CBA Inputs'!$R30+1),0),0)*IF(AG$58=FirstYear+AnalysisPeriod-1,1,0),0)*CapitalCost_ACTIVE*AG$55*IF(Scenario_Select='CBA Inputs'!$T30,1,0)</f>
        <v>0</v>
      </c>
      <c r="BS106" s="17">
        <f>IFERROR(IF(AH$58&gt;='CBA Inputs'!$R30,MAX('CBA Inputs'!$O30-'CBA Inputs'!$O30/'CBA Inputs'!$S30*(AH$58-'CBA Inputs'!$R30+1),0),0)*IF(AH$58=FirstYear+AnalysisPeriod-1,1,0),0)*CapitalCost_ACTIVE*AH$55*IF(Scenario_Select='CBA Inputs'!$T30,1,0)</f>
        <v>0</v>
      </c>
      <c r="BT106" s="17">
        <f>IFERROR(IF(AI$58&gt;='CBA Inputs'!$R30,MAX('CBA Inputs'!$O30-'CBA Inputs'!$O30/'CBA Inputs'!$S30*(AI$58-'CBA Inputs'!$R30+1),0),0)*IF(AI$58=FirstYear+AnalysisPeriod-1,1,0),0)*CapitalCost_ACTIVE*AI$55*IF(Scenario_Select='CBA Inputs'!$T30,1,0)</f>
        <v>0</v>
      </c>
      <c r="BU106" s="17">
        <f>IFERROR(IF(AJ$58&gt;='CBA Inputs'!$R30,MAX('CBA Inputs'!$O30-'CBA Inputs'!$O30/'CBA Inputs'!$S30*(AJ$58-'CBA Inputs'!$R30+1),0),0)*IF(AJ$58=FirstYear+AnalysisPeriod-1,1,0),0)*CapitalCost_ACTIVE*AJ$55*IF(Scenario_Select='CBA Inputs'!$T30,1,0)</f>
        <v>0</v>
      </c>
    </row>
    <row r="107" spans="1:73" x14ac:dyDescent="0.35">
      <c r="B107" s="9">
        <f t="shared" si="30"/>
        <v>6</v>
      </c>
      <c r="C107" s="26" t="str">
        <f t="shared" si="30"/>
        <v>Option 2C</v>
      </c>
      <c r="D107" s="26" t="str">
        <f t="shared" si="33"/>
        <v>Substation</v>
      </c>
      <c r="E107" s="12" t="s">
        <v>35</v>
      </c>
      <c r="F107" s="18">
        <f t="shared" si="34"/>
        <v>34788282.042433776</v>
      </c>
      <c r="G107" s="17">
        <f>IFERROR(IF(G$58&gt;='CBA Inputs'!$H31,MAX('CBA Inputs'!$E31-'CBA Inputs'!$E31/'CBA Inputs'!$I31*(G$58-'CBA Inputs'!$H31+1),0),0)*IF(G$58=FirstYear+AnalysisPeriod-1,1,0),0)*CapitalCost_ACTIVE*G$55</f>
        <v>0</v>
      </c>
      <c r="H107" s="17">
        <f>IFERROR(IF(H$58&gt;='CBA Inputs'!$H31,MAX('CBA Inputs'!$E31-'CBA Inputs'!$E31/'CBA Inputs'!$I31*(H$58-'CBA Inputs'!$H31+1),0),0)*IF(H$58=FirstYear+AnalysisPeriod-1,1,0),0)*CapitalCost_ACTIVE*H$55</f>
        <v>0</v>
      </c>
      <c r="I107" s="17">
        <f>IFERROR(IF(I$58&gt;='CBA Inputs'!$H31,MAX('CBA Inputs'!$E31-'CBA Inputs'!$E31/'CBA Inputs'!$I31*(I$58-'CBA Inputs'!$H31+1),0),0)*IF(I$58=FirstYear+AnalysisPeriod-1,1,0),0)*CapitalCost_ACTIVE*I$55</f>
        <v>0</v>
      </c>
      <c r="J107" s="17">
        <f>IFERROR(IF(J$58&gt;='CBA Inputs'!$H31,MAX('CBA Inputs'!$E31-'CBA Inputs'!$E31/'CBA Inputs'!$I31*(J$58-'CBA Inputs'!$H31+1),0),0)*IF(J$58=FirstYear+AnalysisPeriod-1,1,0),0)*CapitalCost_ACTIVE*J$55</f>
        <v>0</v>
      </c>
      <c r="K107" s="17">
        <f>IFERROR(IF(K$58&gt;='CBA Inputs'!$H31,MAX('CBA Inputs'!$E31-'CBA Inputs'!$E31/'CBA Inputs'!$I31*(K$58-'CBA Inputs'!$H31+1),0),0)*IF(K$58=FirstYear+AnalysisPeriod-1,1,0),0)*CapitalCost_ACTIVE*K$55</f>
        <v>0</v>
      </c>
      <c r="L107" s="17">
        <f>IFERROR(IF(L$58&gt;='CBA Inputs'!$H31,MAX('CBA Inputs'!$E31-'CBA Inputs'!$E31/'CBA Inputs'!$I31*(L$58-'CBA Inputs'!$H31+1),0),0)*IF(L$58=FirstYear+AnalysisPeriod-1,1,0),0)*CapitalCost_ACTIVE*L$55</f>
        <v>0</v>
      </c>
      <c r="M107" s="17">
        <f>IFERROR(IF(M$58&gt;='CBA Inputs'!$H31,MAX('CBA Inputs'!$E31-'CBA Inputs'!$E31/'CBA Inputs'!$I31*(M$58-'CBA Inputs'!$H31+1),0),0)*IF(M$58=FirstYear+AnalysisPeriod-1,1,0),0)*CapitalCost_ACTIVE*M$55</f>
        <v>0</v>
      </c>
      <c r="N107" s="17">
        <f>IFERROR(IF(N$58&gt;='CBA Inputs'!$H31,MAX('CBA Inputs'!$E31-'CBA Inputs'!$E31/'CBA Inputs'!$I31*(N$58-'CBA Inputs'!$H31+1),0),0)*IF(N$58=FirstYear+AnalysisPeriod-1,1,0),0)*CapitalCost_ACTIVE*N$55</f>
        <v>0</v>
      </c>
      <c r="O107" s="17">
        <f>IFERROR(IF(O$58&gt;='CBA Inputs'!$H31,MAX('CBA Inputs'!$E31-'CBA Inputs'!$E31/'CBA Inputs'!$I31*(O$58-'CBA Inputs'!$H31+1),0),0)*IF(O$58=FirstYear+AnalysisPeriod-1,1,0),0)*CapitalCost_ACTIVE*O$55</f>
        <v>0</v>
      </c>
      <c r="P107" s="17">
        <f>IFERROR(IF(P$58&gt;='CBA Inputs'!$H31,MAX('CBA Inputs'!$E31-'CBA Inputs'!$E31/'CBA Inputs'!$I31*(P$58-'CBA Inputs'!$H31+1),0),0)*IF(P$58=FirstYear+AnalysisPeriod-1,1,0),0)*CapitalCost_ACTIVE*P$55</f>
        <v>0</v>
      </c>
      <c r="Q107" s="17">
        <f>IFERROR(IF(Q$58&gt;='CBA Inputs'!$H31,MAX('CBA Inputs'!$E31-'CBA Inputs'!$E31/'CBA Inputs'!$I31*(Q$58-'CBA Inputs'!$H31+1),0),0)*IF(Q$58=FirstYear+AnalysisPeriod-1,1,0),0)*CapitalCost_ACTIVE*Q$55</f>
        <v>0</v>
      </c>
      <c r="R107" s="17">
        <f>IFERROR(IF(R$58&gt;='CBA Inputs'!$H31,MAX('CBA Inputs'!$E31-'CBA Inputs'!$E31/'CBA Inputs'!$I31*(R$58-'CBA Inputs'!$H31+1),0),0)*IF(R$58=FirstYear+AnalysisPeriod-1,1,0),0)*CapitalCost_ACTIVE*R$55</f>
        <v>0</v>
      </c>
      <c r="S107" s="17">
        <f>IFERROR(IF(S$58&gt;='CBA Inputs'!$H31,MAX('CBA Inputs'!$E31-'CBA Inputs'!$E31/'CBA Inputs'!$I31*(S$58-'CBA Inputs'!$H31+1),0),0)*IF(S$58=FirstYear+AnalysisPeriod-1,1,0),0)*CapitalCost_ACTIVE*S$55</f>
        <v>0</v>
      </c>
      <c r="T107" s="17">
        <f>IFERROR(IF(T$58&gt;='CBA Inputs'!$H31,MAX('CBA Inputs'!$E31-'CBA Inputs'!$E31/'CBA Inputs'!$I31*(T$58-'CBA Inputs'!$H31+1),0),0)*IF(T$58=FirstYear+AnalysisPeriod-1,1,0),0)*CapitalCost_ACTIVE*T$55</f>
        <v>0</v>
      </c>
      <c r="U107" s="17">
        <f>IFERROR(IF(U$58&gt;='CBA Inputs'!$H31,MAX('CBA Inputs'!$E31-'CBA Inputs'!$E31/'CBA Inputs'!$I31*(U$58-'CBA Inputs'!$H31+1),0),0)*IF(U$58=FirstYear+AnalysisPeriod-1,1,0),0)*CapitalCost_ACTIVE*U$55</f>
        <v>0</v>
      </c>
      <c r="V107" s="17">
        <f>IFERROR(IF(V$58&gt;='CBA Inputs'!$H31,MAX('CBA Inputs'!$E31-'CBA Inputs'!$E31/'CBA Inputs'!$I31*(V$58-'CBA Inputs'!$H31+1),0),0)*IF(V$58=FirstYear+AnalysisPeriod-1,1,0),0)*CapitalCost_ACTIVE*V$55</f>
        <v>0</v>
      </c>
      <c r="W107" s="17">
        <f>IFERROR(IF(W$58&gt;='CBA Inputs'!$H31,MAX('CBA Inputs'!$E31-'CBA Inputs'!$E31/'CBA Inputs'!$I31*(W$58-'CBA Inputs'!$H31+1),0),0)*IF(W$58=FirstYear+AnalysisPeriod-1,1,0),0)*CapitalCost_ACTIVE*W$55</f>
        <v>0</v>
      </c>
      <c r="X107" s="17">
        <f>IFERROR(IF(X$58&gt;='CBA Inputs'!$H31,MAX('CBA Inputs'!$E31-'CBA Inputs'!$E31/'CBA Inputs'!$I31*(X$58-'CBA Inputs'!$H31+1),0),0)*IF(X$58=FirstYear+AnalysisPeriod-1,1,0),0)*CapitalCost_ACTIVE*X$55</f>
        <v>0</v>
      </c>
      <c r="Y107" s="17">
        <f>IFERROR(IF(Y$58&gt;='CBA Inputs'!$H31,MAX('CBA Inputs'!$E31-'CBA Inputs'!$E31/'CBA Inputs'!$I31*(Y$58-'CBA Inputs'!$H31+1),0),0)*IF(Y$58=FirstYear+AnalysisPeriod-1,1,0),0)*CapitalCost_ACTIVE*Y$55</f>
        <v>0</v>
      </c>
      <c r="Z107" s="17">
        <f>IFERROR(IF(Z$58&gt;='CBA Inputs'!$H31,MAX('CBA Inputs'!$E31-'CBA Inputs'!$E31/'CBA Inputs'!$I31*(Z$58-'CBA Inputs'!$H31+1),0),0)*IF(Z$58=FirstYear+AnalysisPeriod-1,1,0),0)*CapitalCost_ACTIVE*Z$55</f>
        <v>0</v>
      </c>
      <c r="AA107" s="17">
        <f>IFERROR(IF(AA$58&gt;='CBA Inputs'!$H31,MAX('CBA Inputs'!$E31-'CBA Inputs'!$E31/'CBA Inputs'!$I31*(AA$58-'CBA Inputs'!$H31+1),0),0)*IF(AA$58=FirstYear+AnalysisPeriod-1,1,0),0)*CapitalCost_ACTIVE*AA$55</f>
        <v>0</v>
      </c>
      <c r="AB107" s="17">
        <f>IFERROR(IF(AB$58&gt;='CBA Inputs'!$H31,MAX('CBA Inputs'!$E31-'CBA Inputs'!$E31/'CBA Inputs'!$I31*(AB$58-'CBA Inputs'!$H31+1),0),0)*IF(AB$58=FirstYear+AnalysisPeriod-1,1,0),0)*CapitalCost_ACTIVE*AB$55</f>
        <v>0</v>
      </c>
      <c r="AC107" s="17">
        <f>IFERROR(IF(AC$58&gt;='CBA Inputs'!$H31,MAX('CBA Inputs'!$E31-'CBA Inputs'!$E31/'CBA Inputs'!$I31*(AC$58-'CBA Inputs'!$H31+1),0),0)*IF(AC$58=FirstYear+AnalysisPeriod-1,1,0),0)*CapitalCost_ACTIVE*AC$55</f>
        <v>0</v>
      </c>
      <c r="AD107" s="17">
        <f>IFERROR(IF(AD$58&gt;='CBA Inputs'!$H31,MAX('CBA Inputs'!$E31-'CBA Inputs'!$E31/'CBA Inputs'!$I31*(AD$58-'CBA Inputs'!$H31+1),0),0)*IF(AD$58=FirstYear+AnalysisPeriod-1,1,0),0)*CapitalCost_ACTIVE*AD$55</f>
        <v>0</v>
      </c>
      <c r="AE107" s="17">
        <f>IFERROR(IF(AE$58&gt;='CBA Inputs'!$H31,MAX('CBA Inputs'!$E31-'CBA Inputs'!$E31/'CBA Inputs'!$I31*(AE$58-'CBA Inputs'!$H31+1),0),0)*IF(AE$58=FirstYear+AnalysisPeriod-1,1,0),0)*CapitalCost_ACTIVE*AE$55</f>
        <v>0</v>
      </c>
      <c r="AF107" s="17">
        <f>IFERROR(IF(AF$58&gt;='CBA Inputs'!$H31,MAX('CBA Inputs'!$E31-'CBA Inputs'!$E31/'CBA Inputs'!$I31*(AF$58-'CBA Inputs'!$H31+1),0),0)*IF(AF$58=FirstYear+AnalysisPeriod-1,1,0),0)*CapitalCost_ACTIVE*AF$55</f>
        <v>145825000</v>
      </c>
      <c r="AG107" s="17">
        <f>IFERROR(IF(AG$58&gt;='CBA Inputs'!$H31,MAX('CBA Inputs'!$E31-'CBA Inputs'!$E31/'CBA Inputs'!$I31*(AG$58-'CBA Inputs'!$H31+1),0),0)*IF(AG$58=FirstYear+AnalysisPeriod-1,1,0),0)*CapitalCost_ACTIVE*AG$55</f>
        <v>0</v>
      </c>
      <c r="AH107" s="17">
        <f>IFERROR(IF(AH$58&gt;='CBA Inputs'!$H31,MAX('CBA Inputs'!$E31-'CBA Inputs'!$E31/'CBA Inputs'!$I31*(AH$58-'CBA Inputs'!$H31+1),0),0)*IF(AH$58=FirstYear+AnalysisPeriod-1,1,0),0)*CapitalCost_ACTIVE*AH$55</f>
        <v>0</v>
      </c>
      <c r="AI107" s="17">
        <f>IFERROR(IF(AI$58&gt;='CBA Inputs'!$H31,MAX('CBA Inputs'!$E31-'CBA Inputs'!$E31/'CBA Inputs'!$I31*(AI$58-'CBA Inputs'!$H31+1),0),0)*IF(AI$58=FirstYear+AnalysisPeriod-1,1,0),0)*CapitalCost_ACTIVE*AI$55</f>
        <v>0</v>
      </c>
      <c r="AJ107" s="17">
        <f>IFERROR(IF(AJ$58&gt;='CBA Inputs'!$H31,MAX('CBA Inputs'!$E31-'CBA Inputs'!$E31/'CBA Inputs'!$I31*(AJ$58-'CBA Inputs'!$H31+1),0),0)*IF(AJ$58=FirstYear+AnalysisPeriod-1,1,0),0)*CapitalCost_ACTIVE*AJ$55</f>
        <v>0</v>
      </c>
      <c r="AM107" s="9">
        <f t="shared" si="35"/>
        <v>8</v>
      </c>
      <c r="AN107" s="26" t="str">
        <f t="shared" si="35"/>
        <v>Option 3B</v>
      </c>
      <c r="AO107" s="26" t="str">
        <f t="shared" si="35"/>
        <v>Substation</v>
      </c>
      <c r="AP107" s="12" t="s">
        <v>35</v>
      </c>
      <c r="AQ107" s="18">
        <f t="shared" si="36"/>
        <v>0</v>
      </c>
      <c r="AR107" s="17">
        <f>IFERROR(IF(G$58&gt;='CBA Inputs'!$R31,MAX('CBA Inputs'!$O31-'CBA Inputs'!$O31/'CBA Inputs'!$S31*(G$58-'CBA Inputs'!$R31+1),0),0)*IF(G$58=FirstYear+AnalysisPeriod-1,1,0),0)*CapitalCost_ACTIVE*G$55*IF(Scenario_Select='CBA Inputs'!$T31,1,0)</f>
        <v>0</v>
      </c>
      <c r="AS107" s="17">
        <f>IFERROR(IF(H$58&gt;='CBA Inputs'!$R31,MAX('CBA Inputs'!$O31-'CBA Inputs'!$O31/'CBA Inputs'!$S31*(H$58-'CBA Inputs'!$R31+1),0),0)*IF(H$58=FirstYear+AnalysisPeriod-1,1,0),0)*CapitalCost_ACTIVE*H$55*IF(Scenario_Select='CBA Inputs'!$T31,1,0)</f>
        <v>0</v>
      </c>
      <c r="AT107" s="17">
        <f>IFERROR(IF(I$58&gt;='CBA Inputs'!$R31,MAX('CBA Inputs'!$O31-'CBA Inputs'!$O31/'CBA Inputs'!$S31*(I$58-'CBA Inputs'!$R31+1),0),0)*IF(I$58=FirstYear+AnalysisPeriod-1,1,0),0)*CapitalCost_ACTIVE*I$55*IF(Scenario_Select='CBA Inputs'!$T31,1,0)</f>
        <v>0</v>
      </c>
      <c r="AU107" s="17">
        <f>IFERROR(IF(J$58&gt;='CBA Inputs'!$R31,MAX('CBA Inputs'!$O31-'CBA Inputs'!$O31/'CBA Inputs'!$S31*(J$58-'CBA Inputs'!$R31+1),0),0)*IF(J$58=FirstYear+AnalysisPeriod-1,1,0),0)*CapitalCost_ACTIVE*J$55*IF(Scenario_Select='CBA Inputs'!$T31,1,0)</f>
        <v>0</v>
      </c>
      <c r="AV107" s="17">
        <f>IFERROR(IF(K$58&gt;='CBA Inputs'!$R31,MAX('CBA Inputs'!$O31-'CBA Inputs'!$O31/'CBA Inputs'!$S31*(K$58-'CBA Inputs'!$R31+1),0),0)*IF(K$58=FirstYear+AnalysisPeriod-1,1,0),0)*CapitalCost_ACTIVE*K$55*IF(Scenario_Select='CBA Inputs'!$T31,1,0)</f>
        <v>0</v>
      </c>
      <c r="AW107" s="17">
        <f>IFERROR(IF(L$58&gt;='CBA Inputs'!$R31,MAX('CBA Inputs'!$O31-'CBA Inputs'!$O31/'CBA Inputs'!$S31*(L$58-'CBA Inputs'!$R31+1),0),0)*IF(L$58=FirstYear+AnalysisPeriod-1,1,0),0)*CapitalCost_ACTIVE*L$55*IF(Scenario_Select='CBA Inputs'!$T31,1,0)</f>
        <v>0</v>
      </c>
      <c r="AX107" s="17">
        <f>IFERROR(IF(M$58&gt;='CBA Inputs'!$R31,MAX('CBA Inputs'!$O31-'CBA Inputs'!$O31/'CBA Inputs'!$S31*(M$58-'CBA Inputs'!$R31+1),0),0)*IF(M$58=FirstYear+AnalysisPeriod-1,1,0),0)*CapitalCost_ACTIVE*M$55*IF(Scenario_Select='CBA Inputs'!$T31,1,0)</f>
        <v>0</v>
      </c>
      <c r="AY107" s="17">
        <f>IFERROR(IF(N$58&gt;='CBA Inputs'!$R31,MAX('CBA Inputs'!$O31-'CBA Inputs'!$O31/'CBA Inputs'!$S31*(N$58-'CBA Inputs'!$R31+1),0),0)*IF(N$58=FirstYear+AnalysisPeriod-1,1,0),0)*CapitalCost_ACTIVE*N$55*IF(Scenario_Select='CBA Inputs'!$T31,1,0)</f>
        <v>0</v>
      </c>
      <c r="AZ107" s="17">
        <f>IFERROR(IF(O$58&gt;='CBA Inputs'!$R31,MAX('CBA Inputs'!$O31-'CBA Inputs'!$O31/'CBA Inputs'!$S31*(O$58-'CBA Inputs'!$R31+1),0),0)*IF(O$58=FirstYear+AnalysisPeriod-1,1,0),0)*CapitalCost_ACTIVE*O$55*IF(Scenario_Select='CBA Inputs'!$T31,1,0)</f>
        <v>0</v>
      </c>
      <c r="BA107" s="17">
        <f>IFERROR(IF(P$58&gt;='CBA Inputs'!$R31,MAX('CBA Inputs'!$O31-'CBA Inputs'!$O31/'CBA Inputs'!$S31*(P$58-'CBA Inputs'!$R31+1),0),0)*IF(P$58=FirstYear+AnalysisPeriod-1,1,0),0)*CapitalCost_ACTIVE*P$55*IF(Scenario_Select='CBA Inputs'!$T31,1,0)</f>
        <v>0</v>
      </c>
      <c r="BB107" s="17">
        <f>IFERROR(IF(Q$58&gt;='CBA Inputs'!$R31,MAX('CBA Inputs'!$O31-'CBA Inputs'!$O31/'CBA Inputs'!$S31*(Q$58-'CBA Inputs'!$R31+1),0),0)*IF(Q$58=FirstYear+AnalysisPeriod-1,1,0),0)*CapitalCost_ACTIVE*Q$55*IF(Scenario_Select='CBA Inputs'!$T31,1,0)</f>
        <v>0</v>
      </c>
      <c r="BC107" s="17">
        <f>IFERROR(IF(R$58&gt;='CBA Inputs'!$R31,MAX('CBA Inputs'!$O31-'CBA Inputs'!$O31/'CBA Inputs'!$S31*(R$58-'CBA Inputs'!$R31+1),0),0)*IF(R$58=FirstYear+AnalysisPeriod-1,1,0),0)*CapitalCost_ACTIVE*R$55*IF(Scenario_Select='CBA Inputs'!$T31,1,0)</f>
        <v>0</v>
      </c>
      <c r="BD107" s="17">
        <f>IFERROR(IF(S$58&gt;='CBA Inputs'!$R31,MAX('CBA Inputs'!$O31-'CBA Inputs'!$O31/'CBA Inputs'!$S31*(S$58-'CBA Inputs'!$R31+1),0),0)*IF(S$58=FirstYear+AnalysisPeriod-1,1,0),0)*CapitalCost_ACTIVE*S$55*IF(Scenario_Select='CBA Inputs'!$T31,1,0)</f>
        <v>0</v>
      </c>
      <c r="BE107" s="17">
        <f>IFERROR(IF(T$58&gt;='CBA Inputs'!$R31,MAX('CBA Inputs'!$O31-'CBA Inputs'!$O31/'CBA Inputs'!$S31*(T$58-'CBA Inputs'!$R31+1),0),0)*IF(T$58=FirstYear+AnalysisPeriod-1,1,0),0)*CapitalCost_ACTIVE*T$55*IF(Scenario_Select='CBA Inputs'!$T31,1,0)</f>
        <v>0</v>
      </c>
      <c r="BF107" s="17">
        <f>IFERROR(IF(U$58&gt;='CBA Inputs'!$R31,MAX('CBA Inputs'!$O31-'CBA Inputs'!$O31/'CBA Inputs'!$S31*(U$58-'CBA Inputs'!$R31+1),0),0)*IF(U$58=FirstYear+AnalysisPeriod-1,1,0),0)*CapitalCost_ACTIVE*U$55*IF(Scenario_Select='CBA Inputs'!$T31,1,0)</f>
        <v>0</v>
      </c>
      <c r="BG107" s="17">
        <f>IFERROR(IF(V$58&gt;='CBA Inputs'!$R31,MAX('CBA Inputs'!$O31-'CBA Inputs'!$O31/'CBA Inputs'!$S31*(V$58-'CBA Inputs'!$R31+1),0),0)*IF(V$58=FirstYear+AnalysisPeriod-1,1,0),0)*CapitalCost_ACTIVE*V$55*IF(Scenario_Select='CBA Inputs'!$T31,1,0)</f>
        <v>0</v>
      </c>
      <c r="BH107" s="17">
        <f>IFERROR(IF(W$58&gt;='CBA Inputs'!$R31,MAX('CBA Inputs'!$O31-'CBA Inputs'!$O31/'CBA Inputs'!$S31*(W$58-'CBA Inputs'!$R31+1),0),0)*IF(W$58=FirstYear+AnalysisPeriod-1,1,0),0)*CapitalCost_ACTIVE*W$55*IF(Scenario_Select='CBA Inputs'!$T31,1,0)</f>
        <v>0</v>
      </c>
      <c r="BI107" s="17">
        <f>IFERROR(IF(X$58&gt;='CBA Inputs'!$R31,MAX('CBA Inputs'!$O31-'CBA Inputs'!$O31/'CBA Inputs'!$S31*(X$58-'CBA Inputs'!$R31+1),0),0)*IF(X$58=FirstYear+AnalysisPeriod-1,1,0),0)*CapitalCost_ACTIVE*X$55*IF(Scenario_Select='CBA Inputs'!$T31,1,0)</f>
        <v>0</v>
      </c>
      <c r="BJ107" s="17">
        <f>IFERROR(IF(Y$58&gt;='CBA Inputs'!$R31,MAX('CBA Inputs'!$O31-'CBA Inputs'!$O31/'CBA Inputs'!$S31*(Y$58-'CBA Inputs'!$R31+1),0),0)*IF(Y$58=FirstYear+AnalysisPeriod-1,1,0),0)*CapitalCost_ACTIVE*Y$55*IF(Scenario_Select='CBA Inputs'!$T31,1,0)</f>
        <v>0</v>
      </c>
      <c r="BK107" s="17">
        <f>IFERROR(IF(Z$58&gt;='CBA Inputs'!$R31,MAX('CBA Inputs'!$O31-'CBA Inputs'!$O31/'CBA Inputs'!$S31*(Z$58-'CBA Inputs'!$R31+1),0),0)*IF(Z$58=FirstYear+AnalysisPeriod-1,1,0),0)*CapitalCost_ACTIVE*Z$55*IF(Scenario_Select='CBA Inputs'!$T31,1,0)</f>
        <v>0</v>
      </c>
      <c r="BL107" s="17">
        <f>IFERROR(IF(AA$58&gt;='CBA Inputs'!$R31,MAX('CBA Inputs'!$O31-'CBA Inputs'!$O31/'CBA Inputs'!$S31*(AA$58-'CBA Inputs'!$R31+1),0),0)*IF(AA$58=FirstYear+AnalysisPeriod-1,1,0),0)*CapitalCost_ACTIVE*AA$55*IF(Scenario_Select='CBA Inputs'!$T31,1,0)</f>
        <v>0</v>
      </c>
      <c r="BM107" s="17">
        <f>IFERROR(IF(AB$58&gt;='CBA Inputs'!$R31,MAX('CBA Inputs'!$O31-'CBA Inputs'!$O31/'CBA Inputs'!$S31*(AB$58-'CBA Inputs'!$R31+1),0),0)*IF(AB$58=FirstYear+AnalysisPeriod-1,1,0),0)*CapitalCost_ACTIVE*AB$55*IF(Scenario_Select='CBA Inputs'!$T31,1,0)</f>
        <v>0</v>
      </c>
      <c r="BN107" s="17">
        <f>IFERROR(IF(AC$58&gt;='CBA Inputs'!$R31,MAX('CBA Inputs'!$O31-'CBA Inputs'!$O31/'CBA Inputs'!$S31*(AC$58-'CBA Inputs'!$R31+1),0),0)*IF(AC$58=FirstYear+AnalysisPeriod-1,1,0),0)*CapitalCost_ACTIVE*AC$55*IF(Scenario_Select='CBA Inputs'!$T31,1,0)</f>
        <v>0</v>
      </c>
      <c r="BO107" s="17">
        <f>IFERROR(IF(AD$58&gt;='CBA Inputs'!$R31,MAX('CBA Inputs'!$O31-'CBA Inputs'!$O31/'CBA Inputs'!$S31*(AD$58-'CBA Inputs'!$R31+1),0),0)*IF(AD$58=FirstYear+AnalysisPeriod-1,1,0),0)*CapitalCost_ACTIVE*AD$55*IF(Scenario_Select='CBA Inputs'!$T31,1,0)</f>
        <v>0</v>
      </c>
      <c r="BP107" s="17">
        <f>IFERROR(IF(AE$58&gt;='CBA Inputs'!$R31,MAX('CBA Inputs'!$O31-'CBA Inputs'!$O31/'CBA Inputs'!$S31*(AE$58-'CBA Inputs'!$R31+1),0),0)*IF(AE$58=FirstYear+AnalysisPeriod-1,1,0),0)*CapitalCost_ACTIVE*AE$55*IF(Scenario_Select='CBA Inputs'!$T31,1,0)</f>
        <v>0</v>
      </c>
      <c r="BQ107" s="17">
        <f>IFERROR(IF(AF$58&gt;='CBA Inputs'!$R31,MAX('CBA Inputs'!$O31-'CBA Inputs'!$O31/'CBA Inputs'!$S31*(AF$58-'CBA Inputs'!$R31+1),0),0)*IF(AF$58=FirstYear+AnalysisPeriod-1,1,0),0)*CapitalCost_ACTIVE*AF$55*IF(Scenario_Select='CBA Inputs'!$T31,1,0)</f>
        <v>0</v>
      </c>
      <c r="BR107" s="17">
        <f>IFERROR(IF(AG$58&gt;='CBA Inputs'!$R31,MAX('CBA Inputs'!$O31-'CBA Inputs'!$O31/'CBA Inputs'!$S31*(AG$58-'CBA Inputs'!$R31+1),0),0)*IF(AG$58=FirstYear+AnalysisPeriod-1,1,0),0)*CapitalCost_ACTIVE*AG$55*IF(Scenario_Select='CBA Inputs'!$T31,1,0)</f>
        <v>0</v>
      </c>
      <c r="BS107" s="17">
        <f>IFERROR(IF(AH$58&gt;='CBA Inputs'!$R31,MAX('CBA Inputs'!$O31-'CBA Inputs'!$O31/'CBA Inputs'!$S31*(AH$58-'CBA Inputs'!$R31+1),0),0)*IF(AH$58=FirstYear+AnalysisPeriod-1,1,0),0)*CapitalCost_ACTIVE*AH$55*IF(Scenario_Select='CBA Inputs'!$T31,1,0)</f>
        <v>0</v>
      </c>
      <c r="BT107" s="17">
        <f>IFERROR(IF(AI$58&gt;='CBA Inputs'!$R31,MAX('CBA Inputs'!$O31-'CBA Inputs'!$O31/'CBA Inputs'!$S31*(AI$58-'CBA Inputs'!$R31+1),0),0)*IF(AI$58=FirstYear+AnalysisPeriod-1,1,0),0)*CapitalCost_ACTIVE*AI$55*IF(Scenario_Select='CBA Inputs'!$T31,1,0)</f>
        <v>0</v>
      </c>
      <c r="BU107" s="17">
        <f>IFERROR(IF(AJ$58&gt;='CBA Inputs'!$R31,MAX('CBA Inputs'!$O31-'CBA Inputs'!$O31/'CBA Inputs'!$S31*(AJ$58-'CBA Inputs'!$R31+1),0),0)*IF(AJ$58=FirstYear+AnalysisPeriod-1,1,0),0)*CapitalCost_ACTIVE*AJ$55*IF(Scenario_Select='CBA Inputs'!$T31,1,0)</f>
        <v>0</v>
      </c>
    </row>
    <row r="108" spans="1:73" x14ac:dyDescent="0.35">
      <c r="B108" s="9">
        <f t="shared" si="30"/>
        <v>7</v>
      </c>
      <c r="C108" s="26" t="str">
        <f t="shared" si="30"/>
        <v>Option 3A</v>
      </c>
      <c r="D108" s="26" t="str">
        <f t="shared" si="33"/>
        <v>Lines</v>
      </c>
      <c r="E108" s="12" t="s">
        <v>35</v>
      </c>
      <c r="F108" s="18">
        <f t="shared" si="34"/>
        <v>122177066.79384215</v>
      </c>
      <c r="G108" s="17">
        <f>IFERROR(IF(G$58&gt;='CBA Inputs'!$H32,MAX('CBA Inputs'!$E32-'CBA Inputs'!$E32/'CBA Inputs'!$I32*(G$58-'CBA Inputs'!$H32+1),0),0)*IF(G$58=FirstYear+AnalysisPeriod-1,1,0),0)*CapitalCost_ACTIVE*G$55</f>
        <v>0</v>
      </c>
      <c r="H108" s="17">
        <f>IFERROR(IF(H$58&gt;='CBA Inputs'!$H32,MAX('CBA Inputs'!$E32-'CBA Inputs'!$E32/'CBA Inputs'!$I32*(H$58-'CBA Inputs'!$H32+1),0),0)*IF(H$58=FirstYear+AnalysisPeriod-1,1,0),0)*CapitalCost_ACTIVE*H$55</f>
        <v>0</v>
      </c>
      <c r="I108" s="17">
        <f>IFERROR(IF(I$58&gt;='CBA Inputs'!$H32,MAX('CBA Inputs'!$E32-'CBA Inputs'!$E32/'CBA Inputs'!$I32*(I$58-'CBA Inputs'!$H32+1),0),0)*IF(I$58=FirstYear+AnalysisPeriod-1,1,0),0)*CapitalCost_ACTIVE*I$55</f>
        <v>0</v>
      </c>
      <c r="J108" s="17">
        <f>IFERROR(IF(J$58&gt;='CBA Inputs'!$H32,MAX('CBA Inputs'!$E32-'CBA Inputs'!$E32/'CBA Inputs'!$I32*(J$58-'CBA Inputs'!$H32+1),0),0)*IF(J$58=FirstYear+AnalysisPeriod-1,1,0),0)*CapitalCost_ACTIVE*J$55</f>
        <v>0</v>
      </c>
      <c r="K108" s="17">
        <f>IFERROR(IF(K$58&gt;='CBA Inputs'!$H32,MAX('CBA Inputs'!$E32-'CBA Inputs'!$E32/'CBA Inputs'!$I32*(K$58-'CBA Inputs'!$H32+1),0),0)*IF(K$58=FirstYear+AnalysisPeriod-1,1,0),0)*CapitalCost_ACTIVE*K$55</f>
        <v>0</v>
      </c>
      <c r="L108" s="17">
        <f>IFERROR(IF(L$58&gt;='CBA Inputs'!$H32,MAX('CBA Inputs'!$E32-'CBA Inputs'!$E32/'CBA Inputs'!$I32*(L$58-'CBA Inputs'!$H32+1),0),0)*IF(L$58=FirstYear+AnalysisPeriod-1,1,0),0)*CapitalCost_ACTIVE*L$55</f>
        <v>0</v>
      </c>
      <c r="M108" s="17">
        <f>IFERROR(IF(M$58&gt;='CBA Inputs'!$H32,MAX('CBA Inputs'!$E32-'CBA Inputs'!$E32/'CBA Inputs'!$I32*(M$58-'CBA Inputs'!$H32+1),0),0)*IF(M$58=FirstYear+AnalysisPeriod-1,1,0),0)*CapitalCost_ACTIVE*M$55</f>
        <v>0</v>
      </c>
      <c r="N108" s="17">
        <f>IFERROR(IF(N$58&gt;='CBA Inputs'!$H32,MAX('CBA Inputs'!$E32-'CBA Inputs'!$E32/'CBA Inputs'!$I32*(N$58-'CBA Inputs'!$H32+1),0),0)*IF(N$58=FirstYear+AnalysisPeriod-1,1,0),0)*CapitalCost_ACTIVE*N$55</f>
        <v>0</v>
      </c>
      <c r="O108" s="17">
        <f>IFERROR(IF(O$58&gt;='CBA Inputs'!$H32,MAX('CBA Inputs'!$E32-'CBA Inputs'!$E32/'CBA Inputs'!$I32*(O$58-'CBA Inputs'!$H32+1),0),0)*IF(O$58=FirstYear+AnalysisPeriod-1,1,0),0)*CapitalCost_ACTIVE*O$55</f>
        <v>0</v>
      </c>
      <c r="P108" s="17">
        <f>IFERROR(IF(P$58&gt;='CBA Inputs'!$H32,MAX('CBA Inputs'!$E32-'CBA Inputs'!$E32/'CBA Inputs'!$I32*(P$58-'CBA Inputs'!$H32+1),0),0)*IF(P$58=FirstYear+AnalysisPeriod-1,1,0),0)*CapitalCost_ACTIVE*P$55</f>
        <v>0</v>
      </c>
      <c r="Q108" s="17">
        <f>IFERROR(IF(Q$58&gt;='CBA Inputs'!$H32,MAX('CBA Inputs'!$E32-'CBA Inputs'!$E32/'CBA Inputs'!$I32*(Q$58-'CBA Inputs'!$H32+1),0),0)*IF(Q$58=FirstYear+AnalysisPeriod-1,1,0),0)*CapitalCost_ACTIVE*Q$55</f>
        <v>0</v>
      </c>
      <c r="R108" s="17">
        <f>IFERROR(IF(R$58&gt;='CBA Inputs'!$H32,MAX('CBA Inputs'!$E32-'CBA Inputs'!$E32/'CBA Inputs'!$I32*(R$58-'CBA Inputs'!$H32+1),0),0)*IF(R$58=FirstYear+AnalysisPeriod-1,1,0),0)*CapitalCost_ACTIVE*R$55</f>
        <v>0</v>
      </c>
      <c r="S108" s="17">
        <f>IFERROR(IF(S$58&gt;='CBA Inputs'!$H32,MAX('CBA Inputs'!$E32-'CBA Inputs'!$E32/'CBA Inputs'!$I32*(S$58-'CBA Inputs'!$H32+1),0),0)*IF(S$58=FirstYear+AnalysisPeriod-1,1,0),0)*CapitalCost_ACTIVE*S$55</f>
        <v>0</v>
      </c>
      <c r="T108" s="17">
        <f>IFERROR(IF(T$58&gt;='CBA Inputs'!$H32,MAX('CBA Inputs'!$E32-'CBA Inputs'!$E32/'CBA Inputs'!$I32*(T$58-'CBA Inputs'!$H32+1),0),0)*IF(T$58=FirstYear+AnalysisPeriod-1,1,0),0)*CapitalCost_ACTIVE*T$55</f>
        <v>0</v>
      </c>
      <c r="U108" s="17">
        <f>IFERROR(IF(U$58&gt;='CBA Inputs'!$H32,MAX('CBA Inputs'!$E32-'CBA Inputs'!$E32/'CBA Inputs'!$I32*(U$58-'CBA Inputs'!$H32+1),0),0)*IF(U$58=FirstYear+AnalysisPeriod-1,1,0),0)*CapitalCost_ACTIVE*U$55</f>
        <v>0</v>
      </c>
      <c r="V108" s="17">
        <f>IFERROR(IF(V$58&gt;='CBA Inputs'!$H32,MAX('CBA Inputs'!$E32-'CBA Inputs'!$E32/'CBA Inputs'!$I32*(V$58-'CBA Inputs'!$H32+1),0),0)*IF(V$58=FirstYear+AnalysisPeriod-1,1,0),0)*CapitalCost_ACTIVE*V$55</f>
        <v>0</v>
      </c>
      <c r="W108" s="17">
        <f>IFERROR(IF(W$58&gt;='CBA Inputs'!$H32,MAX('CBA Inputs'!$E32-'CBA Inputs'!$E32/'CBA Inputs'!$I32*(W$58-'CBA Inputs'!$H32+1),0),0)*IF(W$58=FirstYear+AnalysisPeriod-1,1,0),0)*CapitalCost_ACTIVE*W$55</f>
        <v>0</v>
      </c>
      <c r="X108" s="17">
        <f>IFERROR(IF(X$58&gt;='CBA Inputs'!$H32,MAX('CBA Inputs'!$E32-'CBA Inputs'!$E32/'CBA Inputs'!$I32*(X$58-'CBA Inputs'!$H32+1),0),0)*IF(X$58=FirstYear+AnalysisPeriod-1,1,0),0)*CapitalCost_ACTIVE*X$55</f>
        <v>0</v>
      </c>
      <c r="Y108" s="17">
        <f>IFERROR(IF(Y$58&gt;='CBA Inputs'!$H32,MAX('CBA Inputs'!$E32-'CBA Inputs'!$E32/'CBA Inputs'!$I32*(Y$58-'CBA Inputs'!$H32+1),0),0)*IF(Y$58=FirstYear+AnalysisPeriod-1,1,0),0)*CapitalCost_ACTIVE*Y$55</f>
        <v>0</v>
      </c>
      <c r="Z108" s="17">
        <f>IFERROR(IF(Z$58&gt;='CBA Inputs'!$H32,MAX('CBA Inputs'!$E32-'CBA Inputs'!$E32/'CBA Inputs'!$I32*(Z$58-'CBA Inputs'!$H32+1),0),0)*IF(Z$58=FirstYear+AnalysisPeriod-1,1,0),0)*CapitalCost_ACTIVE*Z$55</f>
        <v>0</v>
      </c>
      <c r="AA108" s="17">
        <f>IFERROR(IF(AA$58&gt;='CBA Inputs'!$H32,MAX('CBA Inputs'!$E32-'CBA Inputs'!$E32/'CBA Inputs'!$I32*(AA$58-'CBA Inputs'!$H32+1),0),0)*IF(AA$58=FirstYear+AnalysisPeriod-1,1,0),0)*CapitalCost_ACTIVE*AA$55</f>
        <v>0</v>
      </c>
      <c r="AB108" s="17">
        <f>IFERROR(IF(AB$58&gt;='CBA Inputs'!$H32,MAX('CBA Inputs'!$E32-'CBA Inputs'!$E32/'CBA Inputs'!$I32*(AB$58-'CBA Inputs'!$H32+1),0),0)*IF(AB$58=FirstYear+AnalysisPeriod-1,1,0),0)*CapitalCost_ACTIVE*AB$55</f>
        <v>0</v>
      </c>
      <c r="AC108" s="17">
        <f>IFERROR(IF(AC$58&gt;='CBA Inputs'!$H32,MAX('CBA Inputs'!$E32-'CBA Inputs'!$E32/'CBA Inputs'!$I32*(AC$58-'CBA Inputs'!$H32+1),0),0)*IF(AC$58=FirstYear+AnalysisPeriod-1,1,0),0)*CapitalCost_ACTIVE*AC$55</f>
        <v>0</v>
      </c>
      <c r="AD108" s="17">
        <f>IFERROR(IF(AD$58&gt;='CBA Inputs'!$H32,MAX('CBA Inputs'!$E32-'CBA Inputs'!$E32/'CBA Inputs'!$I32*(AD$58-'CBA Inputs'!$H32+1),0),0)*IF(AD$58=FirstYear+AnalysisPeriod-1,1,0),0)*CapitalCost_ACTIVE*AD$55</f>
        <v>0</v>
      </c>
      <c r="AE108" s="17">
        <f>IFERROR(IF(AE$58&gt;='CBA Inputs'!$H32,MAX('CBA Inputs'!$E32-'CBA Inputs'!$E32/'CBA Inputs'!$I32*(AE$58-'CBA Inputs'!$H32+1),0),0)*IF(AE$58=FirstYear+AnalysisPeriod-1,1,0),0)*CapitalCost_ACTIVE*AE$55</f>
        <v>0</v>
      </c>
      <c r="AF108" s="17">
        <f>IFERROR(IF(AF$58&gt;='CBA Inputs'!$H32,MAX('CBA Inputs'!$E32-'CBA Inputs'!$E32/'CBA Inputs'!$I32*(AF$58-'CBA Inputs'!$H32+1),0),0)*IF(AF$58=FirstYear+AnalysisPeriod-1,1,0),0)*CapitalCost_ACTIVE*AF$55</f>
        <v>512140000</v>
      </c>
      <c r="AG108" s="17">
        <f>IFERROR(IF(AG$58&gt;='CBA Inputs'!$H32,MAX('CBA Inputs'!$E32-'CBA Inputs'!$E32/'CBA Inputs'!$I32*(AG$58-'CBA Inputs'!$H32+1),0),0)*IF(AG$58=FirstYear+AnalysisPeriod-1,1,0),0)*CapitalCost_ACTIVE*AG$55</f>
        <v>0</v>
      </c>
      <c r="AH108" s="17">
        <f>IFERROR(IF(AH$58&gt;='CBA Inputs'!$H32,MAX('CBA Inputs'!$E32-'CBA Inputs'!$E32/'CBA Inputs'!$I32*(AH$58-'CBA Inputs'!$H32+1),0),0)*IF(AH$58=FirstYear+AnalysisPeriod-1,1,0),0)*CapitalCost_ACTIVE*AH$55</f>
        <v>0</v>
      </c>
      <c r="AI108" s="17">
        <f>IFERROR(IF(AI$58&gt;='CBA Inputs'!$H32,MAX('CBA Inputs'!$E32-'CBA Inputs'!$E32/'CBA Inputs'!$I32*(AI$58-'CBA Inputs'!$H32+1),0),0)*IF(AI$58=FirstYear+AnalysisPeriod-1,1,0),0)*CapitalCost_ACTIVE*AI$55</f>
        <v>0</v>
      </c>
      <c r="AJ108" s="17">
        <f>IFERROR(IF(AJ$58&gt;='CBA Inputs'!$H32,MAX('CBA Inputs'!$E32-'CBA Inputs'!$E32/'CBA Inputs'!$I32*(AJ$58-'CBA Inputs'!$H32+1),0),0)*IF(AJ$58=FirstYear+AnalysisPeriod-1,1,0),0)*CapitalCost_ACTIVE*AJ$55</f>
        <v>0</v>
      </c>
      <c r="AM108" s="9">
        <f t="shared" si="35"/>
        <v>11</v>
      </c>
      <c r="AN108" s="26" t="str">
        <f t="shared" si="35"/>
        <v>Option 4B</v>
      </c>
      <c r="AO108" s="26" t="str">
        <f t="shared" si="35"/>
        <v>Substation</v>
      </c>
      <c r="AP108" s="12" t="s">
        <v>35</v>
      </c>
      <c r="AQ108" s="18">
        <f t="shared" si="36"/>
        <v>51992694.822893947</v>
      </c>
      <c r="AR108" s="17">
        <f>IFERROR(IF(G$58&gt;='CBA Inputs'!$R32,MAX('CBA Inputs'!$O32-'CBA Inputs'!$O32/'CBA Inputs'!$S32*(G$58-'CBA Inputs'!$R32+1),0),0)*IF(G$58=FirstYear+AnalysisPeriod-1,1,0),0)*CapitalCost_ACTIVE*G$55*IF(Scenario_Select='CBA Inputs'!$T32,1,0)</f>
        <v>0</v>
      </c>
      <c r="AS108" s="17">
        <f>IFERROR(IF(H$58&gt;='CBA Inputs'!$R32,MAX('CBA Inputs'!$O32-'CBA Inputs'!$O32/'CBA Inputs'!$S32*(H$58-'CBA Inputs'!$R32+1),0),0)*IF(H$58=FirstYear+AnalysisPeriod-1,1,0),0)*CapitalCost_ACTIVE*H$55*IF(Scenario_Select='CBA Inputs'!$T32,1,0)</f>
        <v>0</v>
      </c>
      <c r="AT108" s="17">
        <f>IFERROR(IF(I$58&gt;='CBA Inputs'!$R32,MAX('CBA Inputs'!$O32-'CBA Inputs'!$O32/'CBA Inputs'!$S32*(I$58-'CBA Inputs'!$R32+1),0),0)*IF(I$58=FirstYear+AnalysisPeriod-1,1,0),0)*CapitalCost_ACTIVE*I$55*IF(Scenario_Select='CBA Inputs'!$T32,1,0)</f>
        <v>0</v>
      </c>
      <c r="AU108" s="17">
        <f>IFERROR(IF(J$58&gt;='CBA Inputs'!$R32,MAX('CBA Inputs'!$O32-'CBA Inputs'!$O32/'CBA Inputs'!$S32*(J$58-'CBA Inputs'!$R32+1),0),0)*IF(J$58=FirstYear+AnalysisPeriod-1,1,0),0)*CapitalCost_ACTIVE*J$55*IF(Scenario_Select='CBA Inputs'!$T32,1,0)</f>
        <v>0</v>
      </c>
      <c r="AV108" s="17">
        <f>IFERROR(IF(K$58&gt;='CBA Inputs'!$R32,MAX('CBA Inputs'!$O32-'CBA Inputs'!$O32/'CBA Inputs'!$S32*(K$58-'CBA Inputs'!$R32+1),0),0)*IF(K$58=FirstYear+AnalysisPeriod-1,1,0),0)*CapitalCost_ACTIVE*K$55*IF(Scenario_Select='CBA Inputs'!$T32,1,0)</f>
        <v>0</v>
      </c>
      <c r="AW108" s="17">
        <f>IFERROR(IF(L$58&gt;='CBA Inputs'!$R32,MAX('CBA Inputs'!$O32-'CBA Inputs'!$O32/'CBA Inputs'!$S32*(L$58-'CBA Inputs'!$R32+1),0),0)*IF(L$58=FirstYear+AnalysisPeriod-1,1,0),0)*CapitalCost_ACTIVE*L$55*IF(Scenario_Select='CBA Inputs'!$T32,1,0)</f>
        <v>0</v>
      </c>
      <c r="AX108" s="17">
        <f>IFERROR(IF(M$58&gt;='CBA Inputs'!$R32,MAX('CBA Inputs'!$O32-'CBA Inputs'!$O32/'CBA Inputs'!$S32*(M$58-'CBA Inputs'!$R32+1),0),0)*IF(M$58=FirstYear+AnalysisPeriod-1,1,0),0)*CapitalCost_ACTIVE*M$55*IF(Scenario_Select='CBA Inputs'!$T32,1,0)</f>
        <v>0</v>
      </c>
      <c r="AY108" s="17">
        <f>IFERROR(IF(N$58&gt;='CBA Inputs'!$R32,MAX('CBA Inputs'!$O32-'CBA Inputs'!$O32/'CBA Inputs'!$S32*(N$58-'CBA Inputs'!$R32+1),0),0)*IF(N$58=FirstYear+AnalysisPeriod-1,1,0),0)*CapitalCost_ACTIVE*N$55*IF(Scenario_Select='CBA Inputs'!$T32,1,0)</f>
        <v>0</v>
      </c>
      <c r="AZ108" s="17">
        <f>IFERROR(IF(O$58&gt;='CBA Inputs'!$R32,MAX('CBA Inputs'!$O32-'CBA Inputs'!$O32/'CBA Inputs'!$S32*(O$58-'CBA Inputs'!$R32+1),0),0)*IF(O$58=FirstYear+AnalysisPeriod-1,1,0),0)*CapitalCost_ACTIVE*O$55*IF(Scenario_Select='CBA Inputs'!$T32,1,0)</f>
        <v>0</v>
      </c>
      <c r="BA108" s="17">
        <f>IFERROR(IF(P$58&gt;='CBA Inputs'!$R32,MAX('CBA Inputs'!$O32-'CBA Inputs'!$O32/'CBA Inputs'!$S32*(P$58-'CBA Inputs'!$R32+1),0),0)*IF(P$58=FirstYear+AnalysisPeriod-1,1,0),0)*CapitalCost_ACTIVE*P$55*IF(Scenario_Select='CBA Inputs'!$T32,1,0)</f>
        <v>0</v>
      </c>
      <c r="BB108" s="17">
        <f>IFERROR(IF(Q$58&gt;='CBA Inputs'!$R32,MAX('CBA Inputs'!$O32-'CBA Inputs'!$O32/'CBA Inputs'!$S32*(Q$58-'CBA Inputs'!$R32+1),0),0)*IF(Q$58=FirstYear+AnalysisPeriod-1,1,0),0)*CapitalCost_ACTIVE*Q$55*IF(Scenario_Select='CBA Inputs'!$T32,1,0)</f>
        <v>0</v>
      </c>
      <c r="BC108" s="17">
        <f>IFERROR(IF(R$58&gt;='CBA Inputs'!$R32,MAX('CBA Inputs'!$O32-'CBA Inputs'!$O32/'CBA Inputs'!$S32*(R$58-'CBA Inputs'!$R32+1),0),0)*IF(R$58=FirstYear+AnalysisPeriod-1,1,0),0)*CapitalCost_ACTIVE*R$55*IF(Scenario_Select='CBA Inputs'!$T32,1,0)</f>
        <v>0</v>
      </c>
      <c r="BD108" s="17">
        <f>IFERROR(IF(S$58&gt;='CBA Inputs'!$R32,MAX('CBA Inputs'!$O32-'CBA Inputs'!$O32/'CBA Inputs'!$S32*(S$58-'CBA Inputs'!$R32+1),0),0)*IF(S$58=FirstYear+AnalysisPeriod-1,1,0),0)*CapitalCost_ACTIVE*S$55*IF(Scenario_Select='CBA Inputs'!$T32,1,0)</f>
        <v>0</v>
      </c>
      <c r="BE108" s="17">
        <f>IFERROR(IF(T$58&gt;='CBA Inputs'!$R32,MAX('CBA Inputs'!$O32-'CBA Inputs'!$O32/'CBA Inputs'!$S32*(T$58-'CBA Inputs'!$R32+1),0),0)*IF(T$58=FirstYear+AnalysisPeriod-1,1,0),0)*CapitalCost_ACTIVE*T$55*IF(Scenario_Select='CBA Inputs'!$T32,1,0)</f>
        <v>0</v>
      </c>
      <c r="BF108" s="17">
        <f>IFERROR(IF(U$58&gt;='CBA Inputs'!$R32,MAX('CBA Inputs'!$O32-'CBA Inputs'!$O32/'CBA Inputs'!$S32*(U$58-'CBA Inputs'!$R32+1),0),0)*IF(U$58=FirstYear+AnalysisPeriod-1,1,0),0)*CapitalCost_ACTIVE*U$55*IF(Scenario_Select='CBA Inputs'!$T32,1,0)</f>
        <v>0</v>
      </c>
      <c r="BG108" s="17">
        <f>IFERROR(IF(V$58&gt;='CBA Inputs'!$R32,MAX('CBA Inputs'!$O32-'CBA Inputs'!$O32/'CBA Inputs'!$S32*(V$58-'CBA Inputs'!$R32+1),0),0)*IF(V$58=FirstYear+AnalysisPeriod-1,1,0),0)*CapitalCost_ACTIVE*V$55*IF(Scenario_Select='CBA Inputs'!$T32,1,0)</f>
        <v>0</v>
      </c>
      <c r="BH108" s="17">
        <f>IFERROR(IF(W$58&gt;='CBA Inputs'!$R32,MAX('CBA Inputs'!$O32-'CBA Inputs'!$O32/'CBA Inputs'!$S32*(W$58-'CBA Inputs'!$R32+1),0),0)*IF(W$58=FirstYear+AnalysisPeriod-1,1,0),0)*CapitalCost_ACTIVE*W$55*IF(Scenario_Select='CBA Inputs'!$T32,1,0)</f>
        <v>0</v>
      </c>
      <c r="BI108" s="17">
        <f>IFERROR(IF(X$58&gt;='CBA Inputs'!$R32,MAX('CBA Inputs'!$O32-'CBA Inputs'!$O32/'CBA Inputs'!$S32*(X$58-'CBA Inputs'!$R32+1),0),0)*IF(X$58=FirstYear+AnalysisPeriod-1,1,0),0)*CapitalCost_ACTIVE*X$55*IF(Scenario_Select='CBA Inputs'!$T32,1,0)</f>
        <v>0</v>
      </c>
      <c r="BJ108" s="17">
        <f>IFERROR(IF(Y$58&gt;='CBA Inputs'!$R32,MAX('CBA Inputs'!$O32-'CBA Inputs'!$O32/'CBA Inputs'!$S32*(Y$58-'CBA Inputs'!$R32+1),0),0)*IF(Y$58=FirstYear+AnalysisPeriod-1,1,0),0)*CapitalCost_ACTIVE*Y$55*IF(Scenario_Select='CBA Inputs'!$T32,1,0)</f>
        <v>0</v>
      </c>
      <c r="BK108" s="17">
        <f>IFERROR(IF(Z$58&gt;='CBA Inputs'!$R32,MAX('CBA Inputs'!$O32-'CBA Inputs'!$O32/'CBA Inputs'!$S32*(Z$58-'CBA Inputs'!$R32+1),0),0)*IF(Z$58=FirstYear+AnalysisPeriod-1,1,0),0)*CapitalCost_ACTIVE*Z$55*IF(Scenario_Select='CBA Inputs'!$T32,1,0)</f>
        <v>0</v>
      </c>
      <c r="BL108" s="17">
        <f>IFERROR(IF(AA$58&gt;='CBA Inputs'!$R32,MAX('CBA Inputs'!$O32-'CBA Inputs'!$O32/'CBA Inputs'!$S32*(AA$58-'CBA Inputs'!$R32+1),0),0)*IF(AA$58=FirstYear+AnalysisPeriod-1,1,0),0)*CapitalCost_ACTIVE*AA$55*IF(Scenario_Select='CBA Inputs'!$T32,1,0)</f>
        <v>0</v>
      </c>
      <c r="BM108" s="17">
        <f>IFERROR(IF(AB$58&gt;='CBA Inputs'!$R32,MAX('CBA Inputs'!$O32-'CBA Inputs'!$O32/'CBA Inputs'!$S32*(AB$58-'CBA Inputs'!$R32+1),0),0)*IF(AB$58=FirstYear+AnalysisPeriod-1,1,0),0)*CapitalCost_ACTIVE*AB$55*IF(Scenario_Select='CBA Inputs'!$T32,1,0)</f>
        <v>0</v>
      </c>
      <c r="BN108" s="17">
        <f>IFERROR(IF(AC$58&gt;='CBA Inputs'!$R32,MAX('CBA Inputs'!$O32-'CBA Inputs'!$O32/'CBA Inputs'!$S32*(AC$58-'CBA Inputs'!$R32+1),0),0)*IF(AC$58=FirstYear+AnalysisPeriod-1,1,0),0)*CapitalCost_ACTIVE*AC$55*IF(Scenario_Select='CBA Inputs'!$T32,1,0)</f>
        <v>0</v>
      </c>
      <c r="BO108" s="17">
        <f>IFERROR(IF(AD$58&gt;='CBA Inputs'!$R32,MAX('CBA Inputs'!$O32-'CBA Inputs'!$O32/'CBA Inputs'!$S32*(AD$58-'CBA Inputs'!$R32+1),0),0)*IF(AD$58=FirstYear+AnalysisPeriod-1,1,0),0)*CapitalCost_ACTIVE*AD$55*IF(Scenario_Select='CBA Inputs'!$T32,1,0)</f>
        <v>0</v>
      </c>
      <c r="BP108" s="17">
        <f>IFERROR(IF(AE$58&gt;='CBA Inputs'!$R32,MAX('CBA Inputs'!$O32-'CBA Inputs'!$O32/'CBA Inputs'!$S32*(AE$58-'CBA Inputs'!$R32+1),0),0)*IF(AE$58=FirstYear+AnalysisPeriod-1,1,0),0)*CapitalCost_ACTIVE*AE$55*IF(Scenario_Select='CBA Inputs'!$T32,1,0)</f>
        <v>0</v>
      </c>
      <c r="BQ108" s="17">
        <f>IFERROR(IF(AF$58&gt;='CBA Inputs'!$R32,MAX('CBA Inputs'!$O32-'CBA Inputs'!$O32/'CBA Inputs'!$S32*(AF$58-'CBA Inputs'!$R32+1),0),0)*IF(AF$58=FirstYear+AnalysisPeriod-1,1,0),0)*CapitalCost_ACTIVE*AF$55*IF(Scenario_Select='CBA Inputs'!$T32,1,0)</f>
        <v>205800000</v>
      </c>
      <c r="BR108" s="17">
        <f>IFERROR(IF(AG$58&gt;='CBA Inputs'!$R32,MAX('CBA Inputs'!$O32-'CBA Inputs'!$O32/'CBA Inputs'!$S32*(AG$58-'CBA Inputs'!$R32+1),0),0)*IF(AG$58=FirstYear+AnalysisPeriod-1,1,0),0)*CapitalCost_ACTIVE*AG$55*IF(Scenario_Select='CBA Inputs'!$T32,1,0)</f>
        <v>0</v>
      </c>
      <c r="BS108" s="17">
        <f>IFERROR(IF(AH$58&gt;='CBA Inputs'!$R32,MAX('CBA Inputs'!$O32-'CBA Inputs'!$O32/'CBA Inputs'!$S32*(AH$58-'CBA Inputs'!$R32+1),0),0)*IF(AH$58=FirstYear+AnalysisPeriod-1,1,0),0)*CapitalCost_ACTIVE*AH$55*IF(Scenario_Select='CBA Inputs'!$T32,1,0)</f>
        <v>0</v>
      </c>
      <c r="BT108" s="17">
        <f>IFERROR(IF(AI$58&gt;='CBA Inputs'!$R32,MAX('CBA Inputs'!$O32-'CBA Inputs'!$O32/'CBA Inputs'!$S32*(AI$58-'CBA Inputs'!$R32+1),0),0)*IF(AI$58=FirstYear+AnalysisPeriod-1,1,0),0)*CapitalCost_ACTIVE*AI$55*IF(Scenario_Select='CBA Inputs'!$T32,1,0)</f>
        <v>0</v>
      </c>
      <c r="BU108" s="17">
        <f>IFERROR(IF(AJ$58&gt;='CBA Inputs'!$R32,MAX('CBA Inputs'!$O32-'CBA Inputs'!$O32/'CBA Inputs'!$S32*(AJ$58-'CBA Inputs'!$R32+1),0),0)*IF(AJ$58=FirstYear+AnalysisPeriod-1,1,0),0)*CapitalCost_ACTIVE*AJ$55*IF(Scenario_Select='CBA Inputs'!$T32,1,0)</f>
        <v>0</v>
      </c>
    </row>
    <row r="109" spans="1:73" x14ac:dyDescent="0.35">
      <c r="B109" s="9">
        <f t="shared" si="30"/>
        <v>7</v>
      </c>
      <c r="C109" s="26" t="str">
        <f t="shared" si="30"/>
        <v>Option 3A</v>
      </c>
      <c r="D109" s="26" t="str">
        <f t="shared" si="33"/>
        <v>Substation</v>
      </c>
      <c r="E109" s="12" t="s">
        <v>35</v>
      </c>
      <c r="F109" s="18">
        <f t="shared" si="34"/>
        <v>14844511.229833303</v>
      </c>
      <c r="G109" s="17">
        <f>IFERROR(IF(G$58&gt;='CBA Inputs'!$H33,MAX('CBA Inputs'!$E33-'CBA Inputs'!$E33/'CBA Inputs'!$I33*(G$58-'CBA Inputs'!$H33+1),0),0)*IF(G$58=FirstYear+AnalysisPeriod-1,1,0),0)*CapitalCost_ACTIVE*G$55</f>
        <v>0</v>
      </c>
      <c r="H109" s="17">
        <f>IFERROR(IF(H$58&gt;='CBA Inputs'!$H33,MAX('CBA Inputs'!$E33-'CBA Inputs'!$E33/'CBA Inputs'!$I33*(H$58-'CBA Inputs'!$H33+1),0),0)*IF(H$58=FirstYear+AnalysisPeriod-1,1,0),0)*CapitalCost_ACTIVE*H$55</f>
        <v>0</v>
      </c>
      <c r="I109" s="17">
        <f>IFERROR(IF(I$58&gt;='CBA Inputs'!$H33,MAX('CBA Inputs'!$E33-'CBA Inputs'!$E33/'CBA Inputs'!$I33*(I$58-'CBA Inputs'!$H33+1),0),0)*IF(I$58=FirstYear+AnalysisPeriod-1,1,0),0)*CapitalCost_ACTIVE*I$55</f>
        <v>0</v>
      </c>
      <c r="J109" s="17">
        <f>IFERROR(IF(J$58&gt;='CBA Inputs'!$H33,MAX('CBA Inputs'!$E33-'CBA Inputs'!$E33/'CBA Inputs'!$I33*(J$58-'CBA Inputs'!$H33+1),0),0)*IF(J$58=FirstYear+AnalysisPeriod-1,1,0),0)*CapitalCost_ACTIVE*J$55</f>
        <v>0</v>
      </c>
      <c r="K109" s="17">
        <f>IFERROR(IF(K$58&gt;='CBA Inputs'!$H33,MAX('CBA Inputs'!$E33-'CBA Inputs'!$E33/'CBA Inputs'!$I33*(K$58-'CBA Inputs'!$H33+1),0),0)*IF(K$58=FirstYear+AnalysisPeriod-1,1,0),0)*CapitalCost_ACTIVE*K$55</f>
        <v>0</v>
      </c>
      <c r="L109" s="17">
        <f>IFERROR(IF(L$58&gt;='CBA Inputs'!$H33,MAX('CBA Inputs'!$E33-'CBA Inputs'!$E33/'CBA Inputs'!$I33*(L$58-'CBA Inputs'!$H33+1),0),0)*IF(L$58=FirstYear+AnalysisPeriod-1,1,0),0)*CapitalCost_ACTIVE*L$55</f>
        <v>0</v>
      </c>
      <c r="M109" s="17">
        <f>IFERROR(IF(M$58&gt;='CBA Inputs'!$H33,MAX('CBA Inputs'!$E33-'CBA Inputs'!$E33/'CBA Inputs'!$I33*(M$58-'CBA Inputs'!$H33+1),0),0)*IF(M$58=FirstYear+AnalysisPeriod-1,1,0),0)*CapitalCost_ACTIVE*M$55</f>
        <v>0</v>
      </c>
      <c r="N109" s="17">
        <f>IFERROR(IF(N$58&gt;='CBA Inputs'!$H33,MAX('CBA Inputs'!$E33-'CBA Inputs'!$E33/'CBA Inputs'!$I33*(N$58-'CBA Inputs'!$H33+1),0),0)*IF(N$58=FirstYear+AnalysisPeriod-1,1,0),0)*CapitalCost_ACTIVE*N$55</f>
        <v>0</v>
      </c>
      <c r="O109" s="17">
        <f>IFERROR(IF(O$58&gt;='CBA Inputs'!$H33,MAX('CBA Inputs'!$E33-'CBA Inputs'!$E33/'CBA Inputs'!$I33*(O$58-'CBA Inputs'!$H33+1),0),0)*IF(O$58=FirstYear+AnalysisPeriod-1,1,0),0)*CapitalCost_ACTIVE*O$55</f>
        <v>0</v>
      </c>
      <c r="P109" s="17">
        <f>IFERROR(IF(P$58&gt;='CBA Inputs'!$H33,MAX('CBA Inputs'!$E33-'CBA Inputs'!$E33/'CBA Inputs'!$I33*(P$58-'CBA Inputs'!$H33+1),0),0)*IF(P$58=FirstYear+AnalysisPeriod-1,1,0),0)*CapitalCost_ACTIVE*P$55</f>
        <v>0</v>
      </c>
      <c r="Q109" s="17">
        <f>IFERROR(IF(Q$58&gt;='CBA Inputs'!$H33,MAX('CBA Inputs'!$E33-'CBA Inputs'!$E33/'CBA Inputs'!$I33*(Q$58-'CBA Inputs'!$H33+1),0),0)*IF(Q$58=FirstYear+AnalysisPeriod-1,1,0),0)*CapitalCost_ACTIVE*Q$55</f>
        <v>0</v>
      </c>
      <c r="R109" s="17">
        <f>IFERROR(IF(R$58&gt;='CBA Inputs'!$H33,MAX('CBA Inputs'!$E33-'CBA Inputs'!$E33/'CBA Inputs'!$I33*(R$58-'CBA Inputs'!$H33+1),0),0)*IF(R$58=FirstYear+AnalysisPeriod-1,1,0),0)*CapitalCost_ACTIVE*R$55</f>
        <v>0</v>
      </c>
      <c r="S109" s="17">
        <f>IFERROR(IF(S$58&gt;='CBA Inputs'!$H33,MAX('CBA Inputs'!$E33-'CBA Inputs'!$E33/'CBA Inputs'!$I33*(S$58-'CBA Inputs'!$H33+1),0),0)*IF(S$58=FirstYear+AnalysisPeriod-1,1,0),0)*CapitalCost_ACTIVE*S$55</f>
        <v>0</v>
      </c>
      <c r="T109" s="17">
        <f>IFERROR(IF(T$58&gt;='CBA Inputs'!$H33,MAX('CBA Inputs'!$E33-'CBA Inputs'!$E33/'CBA Inputs'!$I33*(T$58-'CBA Inputs'!$H33+1),0),0)*IF(T$58=FirstYear+AnalysisPeriod-1,1,0),0)*CapitalCost_ACTIVE*T$55</f>
        <v>0</v>
      </c>
      <c r="U109" s="17">
        <f>IFERROR(IF(U$58&gt;='CBA Inputs'!$H33,MAX('CBA Inputs'!$E33-'CBA Inputs'!$E33/'CBA Inputs'!$I33*(U$58-'CBA Inputs'!$H33+1),0),0)*IF(U$58=FirstYear+AnalysisPeriod-1,1,0),0)*CapitalCost_ACTIVE*U$55</f>
        <v>0</v>
      </c>
      <c r="V109" s="17">
        <f>IFERROR(IF(V$58&gt;='CBA Inputs'!$H33,MAX('CBA Inputs'!$E33-'CBA Inputs'!$E33/'CBA Inputs'!$I33*(V$58-'CBA Inputs'!$H33+1),0),0)*IF(V$58=FirstYear+AnalysisPeriod-1,1,0),0)*CapitalCost_ACTIVE*V$55</f>
        <v>0</v>
      </c>
      <c r="W109" s="17">
        <f>IFERROR(IF(W$58&gt;='CBA Inputs'!$H33,MAX('CBA Inputs'!$E33-'CBA Inputs'!$E33/'CBA Inputs'!$I33*(W$58-'CBA Inputs'!$H33+1),0),0)*IF(W$58=FirstYear+AnalysisPeriod-1,1,0),0)*CapitalCost_ACTIVE*W$55</f>
        <v>0</v>
      </c>
      <c r="X109" s="17">
        <f>IFERROR(IF(X$58&gt;='CBA Inputs'!$H33,MAX('CBA Inputs'!$E33-'CBA Inputs'!$E33/'CBA Inputs'!$I33*(X$58-'CBA Inputs'!$H33+1),0),0)*IF(X$58=FirstYear+AnalysisPeriod-1,1,0),0)*CapitalCost_ACTIVE*X$55</f>
        <v>0</v>
      </c>
      <c r="Y109" s="17">
        <f>IFERROR(IF(Y$58&gt;='CBA Inputs'!$H33,MAX('CBA Inputs'!$E33-'CBA Inputs'!$E33/'CBA Inputs'!$I33*(Y$58-'CBA Inputs'!$H33+1),0),0)*IF(Y$58=FirstYear+AnalysisPeriod-1,1,0),0)*CapitalCost_ACTIVE*Y$55</f>
        <v>0</v>
      </c>
      <c r="Z109" s="17">
        <f>IFERROR(IF(Z$58&gt;='CBA Inputs'!$H33,MAX('CBA Inputs'!$E33-'CBA Inputs'!$E33/'CBA Inputs'!$I33*(Z$58-'CBA Inputs'!$H33+1),0),0)*IF(Z$58=FirstYear+AnalysisPeriod-1,1,0),0)*CapitalCost_ACTIVE*Z$55</f>
        <v>0</v>
      </c>
      <c r="AA109" s="17">
        <f>IFERROR(IF(AA$58&gt;='CBA Inputs'!$H33,MAX('CBA Inputs'!$E33-'CBA Inputs'!$E33/'CBA Inputs'!$I33*(AA$58-'CBA Inputs'!$H33+1),0),0)*IF(AA$58=FirstYear+AnalysisPeriod-1,1,0),0)*CapitalCost_ACTIVE*AA$55</f>
        <v>0</v>
      </c>
      <c r="AB109" s="17">
        <f>IFERROR(IF(AB$58&gt;='CBA Inputs'!$H33,MAX('CBA Inputs'!$E33-'CBA Inputs'!$E33/'CBA Inputs'!$I33*(AB$58-'CBA Inputs'!$H33+1),0),0)*IF(AB$58=FirstYear+AnalysisPeriod-1,1,0),0)*CapitalCost_ACTIVE*AB$55</f>
        <v>0</v>
      </c>
      <c r="AC109" s="17">
        <f>IFERROR(IF(AC$58&gt;='CBA Inputs'!$H33,MAX('CBA Inputs'!$E33-'CBA Inputs'!$E33/'CBA Inputs'!$I33*(AC$58-'CBA Inputs'!$H33+1),0),0)*IF(AC$58=FirstYear+AnalysisPeriod-1,1,0),0)*CapitalCost_ACTIVE*AC$55</f>
        <v>0</v>
      </c>
      <c r="AD109" s="17">
        <f>IFERROR(IF(AD$58&gt;='CBA Inputs'!$H33,MAX('CBA Inputs'!$E33-'CBA Inputs'!$E33/'CBA Inputs'!$I33*(AD$58-'CBA Inputs'!$H33+1),0),0)*IF(AD$58=FirstYear+AnalysisPeriod-1,1,0),0)*CapitalCost_ACTIVE*AD$55</f>
        <v>0</v>
      </c>
      <c r="AE109" s="17">
        <f>IFERROR(IF(AE$58&gt;='CBA Inputs'!$H33,MAX('CBA Inputs'!$E33-'CBA Inputs'!$E33/'CBA Inputs'!$I33*(AE$58-'CBA Inputs'!$H33+1),0),0)*IF(AE$58=FirstYear+AnalysisPeriod-1,1,0),0)*CapitalCost_ACTIVE*AE$55</f>
        <v>0</v>
      </c>
      <c r="AF109" s="17">
        <f>IFERROR(IF(AF$58&gt;='CBA Inputs'!$H33,MAX('CBA Inputs'!$E33-'CBA Inputs'!$E33/'CBA Inputs'!$I33*(AF$58-'CBA Inputs'!$H33+1),0),0)*IF(AF$58=FirstYear+AnalysisPeriod-1,1,0),0)*CapitalCost_ACTIVE*AF$55</f>
        <v>62225000</v>
      </c>
      <c r="AG109" s="17">
        <f>IFERROR(IF(AG$58&gt;='CBA Inputs'!$H33,MAX('CBA Inputs'!$E33-'CBA Inputs'!$E33/'CBA Inputs'!$I33*(AG$58-'CBA Inputs'!$H33+1),0),0)*IF(AG$58=FirstYear+AnalysisPeriod-1,1,0),0)*CapitalCost_ACTIVE*AG$55</f>
        <v>0</v>
      </c>
      <c r="AH109" s="17">
        <f>IFERROR(IF(AH$58&gt;='CBA Inputs'!$H33,MAX('CBA Inputs'!$E33-'CBA Inputs'!$E33/'CBA Inputs'!$I33*(AH$58-'CBA Inputs'!$H33+1),0),0)*IF(AH$58=FirstYear+AnalysisPeriod-1,1,0),0)*CapitalCost_ACTIVE*AH$55</f>
        <v>0</v>
      </c>
      <c r="AI109" s="17">
        <f>IFERROR(IF(AI$58&gt;='CBA Inputs'!$H33,MAX('CBA Inputs'!$E33-'CBA Inputs'!$E33/'CBA Inputs'!$I33*(AI$58-'CBA Inputs'!$H33+1),0),0)*IF(AI$58=FirstYear+AnalysisPeriod-1,1,0),0)*CapitalCost_ACTIVE*AI$55</f>
        <v>0</v>
      </c>
      <c r="AJ109" s="17">
        <f>IFERROR(IF(AJ$58&gt;='CBA Inputs'!$H33,MAX('CBA Inputs'!$E33-'CBA Inputs'!$E33/'CBA Inputs'!$I33*(AJ$58-'CBA Inputs'!$H33+1),0),0)*IF(AJ$58=FirstYear+AnalysisPeriod-1,1,0),0)*CapitalCost_ACTIVE*AJ$55</f>
        <v>0</v>
      </c>
      <c r="AM109" s="9">
        <f t="shared" si="35"/>
        <v>11</v>
      </c>
      <c r="AN109" s="26" t="str">
        <f t="shared" si="35"/>
        <v>Option 4B</v>
      </c>
      <c r="AO109" s="26" t="str">
        <f t="shared" si="35"/>
        <v>Substation</v>
      </c>
      <c r="AP109" s="12" t="s">
        <v>35</v>
      </c>
      <c r="AQ109" s="18">
        <f t="shared" si="36"/>
        <v>0</v>
      </c>
      <c r="AR109" s="17">
        <f>IFERROR(IF(G$58&gt;='CBA Inputs'!$R33,MAX('CBA Inputs'!$O33-'CBA Inputs'!$O33/'CBA Inputs'!$S33*(G$58-'CBA Inputs'!$R33+1),0),0)*IF(G$58=FirstYear+AnalysisPeriod-1,1,0),0)*CapitalCost_ACTIVE*G$55*IF(Scenario_Select='CBA Inputs'!$T33,1,0)</f>
        <v>0</v>
      </c>
      <c r="AS109" s="17">
        <f>IFERROR(IF(H$58&gt;='CBA Inputs'!$R33,MAX('CBA Inputs'!$O33-'CBA Inputs'!$O33/'CBA Inputs'!$S33*(H$58-'CBA Inputs'!$R33+1),0),0)*IF(H$58=FirstYear+AnalysisPeriod-1,1,0),0)*CapitalCost_ACTIVE*H$55*IF(Scenario_Select='CBA Inputs'!$T33,1,0)</f>
        <v>0</v>
      </c>
      <c r="AT109" s="17">
        <f>IFERROR(IF(I$58&gt;='CBA Inputs'!$R33,MAX('CBA Inputs'!$O33-'CBA Inputs'!$O33/'CBA Inputs'!$S33*(I$58-'CBA Inputs'!$R33+1),0),0)*IF(I$58=FirstYear+AnalysisPeriod-1,1,0),0)*CapitalCost_ACTIVE*I$55*IF(Scenario_Select='CBA Inputs'!$T33,1,0)</f>
        <v>0</v>
      </c>
      <c r="AU109" s="17">
        <f>IFERROR(IF(J$58&gt;='CBA Inputs'!$R33,MAX('CBA Inputs'!$O33-'CBA Inputs'!$O33/'CBA Inputs'!$S33*(J$58-'CBA Inputs'!$R33+1),0),0)*IF(J$58=FirstYear+AnalysisPeriod-1,1,0),0)*CapitalCost_ACTIVE*J$55*IF(Scenario_Select='CBA Inputs'!$T33,1,0)</f>
        <v>0</v>
      </c>
      <c r="AV109" s="17">
        <f>IFERROR(IF(K$58&gt;='CBA Inputs'!$R33,MAX('CBA Inputs'!$O33-'CBA Inputs'!$O33/'CBA Inputs'!$S33*(K$58-'CBA Inputs'!$R33+1),0),0)*IF(K$58=FirstYear+AnalysisPeriod-1,1,0),0)*CapitalCost_ACTIVE*K$55*IF(Scenario_Select='CBA Inputs'!$T33,1,0)</f>
        <v>0</v>
      </c>
      <c r="AW109" s="17">
        <f>IFERROR(IF(L$58&gt;='CBA Inputs'!$R33,MAX('CBA Inputs'!$O33-'CBA Inputs'!$O33/'CBA Inputs'!$S33*(L$58-'CBA Inputs'!$R33+1),0),0)*IF(L$58=FirstYear+AnalysisPeriod-1,1,0),0)*CapitalCost_ACTIVE*L$55*IF(Scenario_Select='CBA Inputs'!$T33,1,0)</f>
        <v>0</v>
      </c>
      <c r="AX109" s="17">
        <f>IFERROR(IF(M$58&gt;='CBA Inputs'!$R33,MAX('CBA Inputs'!$O33-'CBA Inputs'!$O33/'CBA Inputs'!$S33*(M$58-'CBA Inputs'!$R33+1),0),0)*IF(M$58=FirstYear+AnalysisPeriod-1,1,0),0)*CapitalCost_ACTIVE*M$55*IF(Scenario_Select='CBA Inputs'!$T33,1,0)</f>
        <v>0</v>
      </c>
      <c r="AY109" s="17">
        <f>IFERROR(IF(N$58&gt;='CBA Inputs'!$R33,MAX('CBA Inputs'!$O33-'CBA Inputs'!$O33/'CBA Inputs'!$S33*(N$58-'CBA Inputs'!$R33+1),0),0)*IF(N$58=FirstYear+AnalysisPeriod-1,1,0),0)*CapitalCost_ACTIVE*N$55*IF(Scenario_Select='CBA Inputs'!$T33,1,0)</f>
        <v>0</v>
      </c>
      <c r="AZ109" s="17">
        <f>IFERROR(IF(O$58&gt;='CBA Inputs'!$R33,MAX('CBA Inputs'!$O33-'CBA Inputs'!$O33/'CBA Inputs'!$S33*(O$58-'CBA Inputs'!$R33+1),0),0)*IF(O$58=FirstYear+AnalysisPeriod-1,1,0),0)*CapitalCost_ACTIVE*O$55*IF(Scenario_Select='CBA Inputs'!$T33,1,0)</f>
        <v>0</v>
      </c>
      <c r="BA109" s="17">
        <f>IFERROR(IF(P$58&gt;='CBA Inputs'!$R33,MAX('CBA Inputs'!$O33-'CBA Inputs'!$O33/'CBA Inputs'!$S33*(P$58-'CBA Inputs'!$R33+1),0),0)*IF(P$58=FirstYear+AnalysisPeriod-1,1,0),0)*CapitalCost_ACTIVE*P$55*IF(Scenario_Select='CBA Inputs'!$T33,1,0)</f>
        <v>0</v>
      </c>
      <c r="BB109" s="17">
        <f>IFERROR(IF(Q$58&gt;='CBA Inputs'!$R33,MAX('CBA Inputs'!$O33-'CBA Inputs'!$O33/'CBA Inputs'!$S33*(Q$58-'CBA Inputs'!$R33+1),0),0)*IF(Q$58=FirstYear+AnalysisPeriod-1,1,0),0)*CapitalCost_ACTIVE*Q$55*IF(Scenario_Select='CBA Inputs'!$T33,1,0)</f>
        <v>0</v>
      </c>
      <c r="BC109" s="17">
        <f>IFERROR(IF(R$58&gt;='CBA Inputs'!$R33,MAX('CBA Inputs'!$O33-'CBA Inputs'!$O33/'CBA Inputs'!$S33*(R$58-'CBA Inputs'!$R33+1),0),0)*IF(R$58=FirstYear+AnalysisPeriod-1,1,0),0)*CapitalCost_ACTIVE*R$55*IF(Scenario_Select='CBA Inputs'!$T33,1,0)</f>
        <v>0</v>
      </c>
      <c r="BD109" s="17">
        <f>IFERROR(IF(S$58&gt;='CBA Inputs'!$R33,MAX('CBA Inputs'!$O33-'CBA Inputs'!$O33/'CBA Inputs'!$S33*(S$58-'CBA Inputs'!$R33+1),0),0)*IF(S$58=FirstYear+AnalysisPeriod-1,1,0),0)*CapitalCost_ACTIVE*S$55*IF(Scenario_Select='CBA Inputs'!$T33,1,0)</f>
        <v>0</v>
      </c>
      <c r="BE109" s="17">
        <f>IFERROR(IF(T$58&gt;='CBA Inputs'!$R33,MAX('CBA Inputs'!$O33-'CBA Inputs'!$O33/'CBA Inputs'!$S33*(T$58-'CBA Inputs'!$R33+1),0),0)*IF(T$58=FirstYear+AnalysisPeriod-1,1,0),0)*CapitalCost_ACTIVE*T$55*IF(Scenario_Select='CBA Inputs'!$T33,1,0)</f>
        <v>0</v>
      </c>
      <c r="BF109" s="17">
        <f>IFERROR(IF(U$58&gt;='CBA Inputs'!$R33,MAX('CBA Inputs'!$O33-'CBA Inputs'!$O33/'CBA Inputs'!$S33*(U$58-'CBA Inputs'!$R33+1),0),0)*IF(U$58=FirstYear+AnalysisPeriod-1,1,0),0)*CapitalCost_ACTIVE*U$55*IF(Scenario_Select='CBA Inputs'!$T33,1,0)</f>
        <v>0</v>
      </c>
      <c r="BG109" s="17">
        <f>IFERROR(IF(V$58&gt;='CBA Inputs'!$R33,MAX('CBA Inputs'!$O33-'CBA Inputs'!$O33/'CBA Inputs'!$S33*(V$58-'CBA Inputs'!$R33+1),0),0)*IF(V$58=FirstYear+AnalysisPeriod-1,1,0),0)*CapitalCost_ACTIVE*V$55*IF(Scenario_Select='CBA Inputs'!$T33,1,0)</f>
        <v>0</v>
      </c>
      <c r="BH109" s="17">
        <f>IFERROR(IF(W$58&gt;='CBA Inputs'!$R33,MAX('CBA Inputs'!$O33-'CBA Inputs'!$O33/'CBA Inputs'!$S33*(W$58-'CBA Inputs'!$R33+1),0),0)*IF(W$58=FirstYear+AnalysisPeriod-1,1,0),0)*CapitalCost_ACTIVE*W$55*IF(Scenario_Select='CBA Inputs'!$T33,1,0)</f>
        <v>0</v>
      </c>
      <c r="BI109" s="17">
        <f>IFERROR(IF(X$58&gt;='CBA Inputs'!$R33,MAX('CBA Inputs'!$O33-'CBA Inputs'!$O33/'CBA Inputs'!$S33*(X$58-'CBA Inputs'!$R33+1),0),0)*IF(X$58=FirstYear+AnalysisPeriod-1,1,0),0)*CapitalCost_ACTIVE*X$55*IF(Scenario_Select='CBA Inputs'!$T33,1,0)</f>
        <v>0</v>
      </c>
      <c r="BJ109" s="17">
        <f>IFERROR(IF(Y$58&gt;='CBA Inputs'!$R33,MAX('CBA Inputs'!$O33-'CBA Inputs'!$O33/'CBA Inputs'!$S33*(Y$58-'CBA Inputs'!$R33+1),0),0)*IF(Y$58=FirstYear+AnalysisPeriod-1,1,0),0)*CapitalCost_ACTIVE*Y$55*IF(Scenario_Select='CBA Inputs'!$T33,1,0)</f>
        <v>0</v>
      </c>
      <c r="BK109" s="17">
        <f>IFERROR(IF(Z$58&gt;='CBA Inputs'!$R33,MAX('CBA Inputs'!$O33-'CBA Inputs'!$O33/'CBA Inputs'!$S33*(Z$58-'CBA Inputs'!$R33+1),0),0)*IF(Z$58=FirstYear+AnalysisPeriod-1,1,0),0)*CapitalCost_ACTIVE*Z$55*IF(Scenario_Select='CBA Inputs'!$T33,1,0)</f>
        <v>0</v>
      </c>
      <c r="BL109" s="17">
        <f>IFERROR(IF(AA$58&gt;='CBA Inputs'!$R33,MAX('CBA Inputs'!$O33-'CBA Inputs'!$O33/'CBA Inputs'!$S33*(AA$58-'CBA Inputs'!$R33+1),0),0)*IF(AA$58=FirstYear+AnalysisPeriod-1,1,0),0)*CapitalCost_ACTIVE*AA$55*IF(Scenario_Select='CBA Inputs'!$T33,1,0)</f>
        <v>0</v>
      </c>
      <c r="BM109" s="17">
        <f>IFERROR(IF(AB$58&gt;='CBA Inputs'!$R33,MAX('CBA Inputs'!$O33-'CBA Inputs'!$O33/'CBA Inputs'!$S33*(AB$58-'CBA Inputs'!$R33+1),0),0)*IF(AB$58=FirstYear+AnalysisPeriod-1,1,0),0)*CapitalCost_ACTIVE*AB$55*IF(Scenario_Select='CBA Inputs'!$T33,1,0)</f>
        <v>0</v>
      </c>
      <c r="BN109" s="17">
        <f>IFERROR(IF(AC$58&gt;='CBA Inputs'!$R33,MAX('CBA Inputs'!$O33-'CBA Inputs'!$O33/'CBA Inputs'!$S33*(AC$58-'CBA Inputs'!$R33+1),0),0)*IF(AC$58=FirstYear+AnalysisPeriod-1,1,0),0)*CapitalCost_ACTIVE*AC$55*IF(Scenario_Select='CBA Inputs'!$T33,1,0)</f>
        <v>0</v>
      </c>
      <c r="BO109" s="17">
        <f>IFERROR(IF(AD$58&gt;='CBA Inputs'!$R33,MAX('CBA Inputs'!$O33-'CBA Inputs'!$O33/'CBA Inputs'!$S33*(AD$58-'CBA Inputs'!$R33+1),0),0)*IF(AD$58=FirstYear+AnalysisPeriod-1,1,0),0)*CapitalCost_ACTIVE*AD$55*IF(Scenario_Select='CBA Inputs'!$T33,1,0)</f>
        <v>0</v>
      </c>
      <c r="BP109" s="17">
        <f>IFERROR(IF(AE$58&gt;='CBA Inputs'!$R33,MAX('CBA Inputs'!$O33-'CBA Inputs'!$O33/'CBA Inputs'!$S33*(AE$58-'CBA Inputs'!$R33+1),0),0)*IF(AE$58=FirstYear+AnalysisPeriod-1,1,0),0)*CapitalCost_ACTIVE*AE$55*IF(Scenario_Select='CBA Inputs'!$T33,1,0)</f>
        <v>0</v>
      </c>
      <c r="BQ109" s="17">
        <f>IFERROR(IF(AF$58&gt;='CBA Inputs'!$R33,MAX('CBA Inputs'!$O33-'CBA Inputs'!$O33/'CBA Inputs'!$S33*(AF$58-'CBA Inputs'!$R33+1),0),0)*IF(AF$58=FirstYear+AnalysisPeriod-1,1,0),0)*CapitalCost_ACTIVE*AF$55*IF(Scenario_Select='CBA Inputs'!$T33,1,0)</f>
        <v>0</v>
      </c>
      <c r="BR109" s="17">
        <f>IFERROR(IF(AG$58&gt;='CBA Inputs'!$R33,MAX('CBA Inputs'!$O33-'CBA Inputs'!$O33/'CBA Inputs'!$S33*(AG$58-'CBA Inputs'!$R33+1),0),0)*IF(AG$58=FirstYear+AnalysisPeriod-1,1,0),0)*CapitalCost_ACTIVE*AG$55*IF(Scenario_Select='CBA Inputs'!$T33,1,0)</f>
        <v>0</v>
      </c>
      <c r="BS109" s="17">
        <f>IFERROR(IF(AH$58&gt;='CBA Inputs'!$R33,MAX('CBA Inputs'!$O33-'CBA Inputs'!$O33/'CBA Inputs'!$S33*(AH$58-'CBA Inputs'!$R33+1),0),0)*IF(AH$58=FirstYear+AnalysisPeriod-1,1,0),0)*CapitalCost_ACTIVE*AH$55*IF(Scenario_Select='CBA Inputs'!$T33,1,0)</f>
        <v>0</v>
      </c>
      <c r="BT109" s="17">
        <f>IFERROR(IF(AI$58&gt;='CBA Inputs'!$R33,MAX('CBA Inputs'!$O33-'CBA Inputs'!$O33/'CBA Inputs'!$S33*(AI$58-'CBA Inputs'!$R33+1),0),0)*IF(AI$58=FirstYear+AnalysisPeriod-1,1,0),0)*CapitalCost_ACTIVE*AI$55*IF(Scenario_Select='CBA Inputs'!$T33,1,0)</f>
        <v>0</v>
      </c>
      <c r="BU109" s="17">
        <f>IFERROR(IF(AJ$58&gt;='CBA Inputs'!$R33,MAX('CBA Inputs'!$O33-'CBA Inputs'!$O33/'CBA Inputs'!$S33*(AJ$58-'CBA Inputs'!$R33+1),0),0)*IF(AJ$58=FirstYear+AnalysisPeriod-1,1,0),0)*CapitalCost_ACTIVE*AJ$55*IF(Scenario_Select='CBA Inputs'!$T33,1,0)</f>
        <v>0</v>
      </c>
    </row>
    <row r="110" spans="1:73" x14ac:dyDescent="0.35">
      <c r="B110" s="9">
        <f t="shared" si="30"/>
        <v>8</v>
      </c>
      <c r="C110" s="26" t="str">
        <f t="shared" si="30"/>
        <v>Option 3B</v>
      </c>
      <c r="D110" s="26" t="str">
        <f t="shared" si="33"/>
        <v>Lines</v>
      </c>
      <c r="E110" s="12" t="s">
        <v>35</v>
      </c>
      <c r="F110" s="18">
        <f t="shared" si="34"/>
        <v>150818802.72399539</v>
      </c>
      <c r="G110" s="17">
        <f>IFERROR(IF(G$58&gt;='CBA Inputs'!$H34,MAX('CBA Inputs'!$E34-'CBA Inputs'!$E34/'CBA Inputs'!$I34*(G$58-'CBA Inputs'!$H34+1),0),0)*IF(G$58=FirstYear+AnalysisPeriod-1,1,0),0)*CapitalCost_ACTIVE*G$55</f>
        <v>0</v>
      </c>
      <c r="H110" s="17">
        <f>IFERROR(IF(H$58&gt;='CBA Inputs'!$H34,MAX('CBA Inputs'!$E34-'CBA Inputs'!$E34/'CBA Inputs'!$I34*(H$58-'CBA Inputs'!$H34+1),0),0)*IF(H$58=FirstYear+AnalysisPeriod-1,1,0),0)*CapitalCost_ACTIVE*H$55</f>
        <v>0</v>
      </c>
      <c r="I110" s="17">
        <f>IFERROR(IF(I$58&gt;='CBA Inputs'!$H34,MAX('CBA Inputs'!$E34-'CBA Inputs'!$E34/'CBA Inputs'!$I34*(I$58-'CBA Inputs'!$H34+1),0),0)*IF(I$58=FirstYear+AnalysisPeriod-1,1,0),0)*CapitalCost_ACTIVE*I$55</f>
        <v>0</v>
      </c>
      <c r="J110" s="17">
        <f>IFERROR(IF(J$58&gt;='CBA Inputs'!$H34,MAX('CBA Inputs'!$E34-'CBA Inputs'!$E34/'CBA Inputs'!$I34*(J$58-'CBA Inputs'!$H34+1),0),0)*IF(J$58=FirstYear+AnalysisPeriod-1,1,0),0)*CapitalCost_ACTIVE*J$55</f>
        <v>0</v>
      </c>
      <c r="K110" s="17">
        <f>IFERROR(IF(K$58&gt;='CBA Inputs'!$H34,MAX('CBA Inputs'!$E34-'CBA Inputs'!$E34/'CBA Inputs'!$I34*(K$58-'CBA Inputs'!$H34+1),0),0)*IF(K$58=FirstYear+AnalysisPeriod-1,1,0),0)*CapitalCost_ACTIVE*K$55</f>
        <v>0</v>
      </c>
      <c r="L110" s="17">
        <f>IFERROR(IF(L$58&gt;='CBA Inputs'!$H34,MAX('CBA Inputs'!$E34-'CBA Inputs'!$E34/'CBA Inputs'!$I34*(L$58-'CBA Inputs'!$H34+1),0),0)*IF(L$58=FirstYear+AnalysisPeriod-1,1,0),0)*CapitalCost_ACTIVE*L$55</f>
        <v>0</v>
      </c>
      <c r="M110" s="17">
        <f>IFERROR(IF(M$58&gt;='CBA Inputs'!$H34,MAX('CBA Inputs'!$E34-'CBA Inputs'!$E34/'CBA Inputs'!$I34*(M$58-'CBA Inputs'!$H34+1),0),0)*IF(M$58=FirstYear+AnalysisPeriod-1,1,0),0)*CapitalCost_ACTIVE*M$55</f>
        <v>0</v>
      </c>
      <c r="N110" s="17">
        <f>IFERROR(IF(N$58&gt;='CBA Inputs'!$H34,MAX('CBA Inputs'!$E34-'CBA Inputs'!$E34/'CBA Inputs'!$I34*(N$58-'CBA Inputs'!$H34+1),0),0)*IF(N$58=FirstYear+AnalysisPeriod-1,1,0),0)*CapitalCost_ACTIVE*N$55</f>
        <v>0</v>
      </c>
      <c r="O110" s="17">
        <f>IFERROR(IF(O$58&gt;='CBA Inputs'!$H34,MAX('CBA Inputs'!$E34-'CBA Inputs'!$E34/'CBA Inputs'!$I34*(O$58-'CBA Inputs'!$H34+1),0),0)*IF(O$58=FirstYear+AnalysisPeriod-1,1,0),0)*CapitalCost_ACTIVE*O$55</f>
        <v>0</v>
      </c>
      <c r="P110" s="17">
        <f>IFERROR(IF(P$58&gt;='CBA Inputs'!$H34,MAX('CBA Inputs'!$E34-'CBA Inputs'!$E34/'CBA Inputs'!$I34*(P$58-'CBA Inputs'!$H34+1),0),0)*IF(P$58=FirstYear+AnalysisPeriod-1,1,0),0)*CapitalCost_ACTIVE*P$55</f>
        <v>0</v>
      </c>
      <c r="Q110" s="17">
        <f>IFERROR(IF(Q$58&gt;='CBA Inputs'!$H34,MAX('CBA Inputs'!$E34-'CBA Inputs'!$E34/'CBA Inputs'!$I34*(Q$58-'CBA Inputs'!$H34+1),0),0)*IF(Q$58=FirstYear+AnalysisPeriod-1,1,0),0)*CapitalCost_ACTIVE*Q$55</f>
        <v>0</v>
      </c>
      <c r="R110" s="17">
        <f>IFERROR(IF(R$58&gt;='CBA Inputs'!$H34,MAX('CBA Inputs'!$E34-'CBA Inputs'!$E34/'CBA Inputs'!$I34*(R$58-'CBA Inputs'!$H34+1),0),0)*IF(R$58=FirstYear+AnalysisPeriod-1,1,0),0)*CapitalCost_ACTIVE*R$55</f>
        <v>0</v>
      </c>
      <c r="S110" s="17">
        <f>IFERROR(IF(S$58&gt;='CBA Inputs'!$H34,MAX('CBA Inputs'!$E34-'CBA Inputs'!$E34/'CBA Inputs'!$I34*(S$58-'CBA Inputs'!$H34+1),0),0)*IF(S$58=FirstYear+AnalysisPeriod-1,1,0),0)*CapitalCost_ACTIVE*S$55</f>
        <v>0</v>
      </c>
      <c r="T110" s="17">
        <f>IFERROR(IF(T$58&gt;='CBA Inputs'!$H34,MAX('CBA Inputs'!$E34-'CBA Inputs'!$E34/'CBA Inputs'!$I34*(T$58-'CBA Inputs'!$H34+1),0),0)*IF(T$58=FirstYear+AnalysisPeriod-1,1,0),0)*CapitalCost_ACTIVE*T$55</f>
        <v>0</v>
      </c>
      <c r="U110" s="17">
        <f>IFERROR(IF(U$58&gt;='CBA Inputs'!$H34,MAX('CBA Inputs'!$E34-'CBA Inputs'!$E34/'CBA Inputs'!$I34*(U$58-'CBA Inputs'!$H34+1),0),0)*IF(U$58=FirstYear+AnalysisPeriod-1,1,0),0)*CapitalCost_ACTIVE*U$55</f>
        <v>0</v>
      </c>
      <c r="V110" s="17">
        <f>IFERROR(IF(V$58&gt;='CBA Inputs'!$H34,MAX('CBA Inputs'!$E34-'CBA Inputs'!$E34/'CBA Inputs'!$I34*(V$58-'CBA Inputs'!$H34+1),0),0)*IF(V$58=FirstYear+AnalysisPeriod-1,1,0),0)*CapitalCost_ACTIVE*V$55</f>
        <v>0</v>
      </c>
      <c r="W110" s="17">
        <f>IFERROR(IF(W$58&gt;='CBA Inputs'!$H34,MAX('CBA Inputs'!$E34-'CBA Inputs'!$E34/'CBA Inputs'!$I34*(W$58-'CBA Inputs'!$H34+1),0),0)*IF(W$58=FirstYear+AnalysisPeriod-1,1,0),0)*CapitalCost_ACTIVE*W$55</f>
        <v>0</v>
      </c>
      <c r="X110" s="17">
        <f>IFERROR(IF(X$58&gt;='CBA Inputs'!$H34,MAX('CBA Inputs'!$E34-'CBA Inputs'!$E34/'CBA Inputs'!$I34*(X$58-'CBA Inputs'!$H34+1),0),0)*IF(X$58=FirstYear+AnalysisPeriod-1,1,0),0)*CapitalCost_ACTIVE*X$55</f>
        <v>0</v>
      </c>
      <c r="Y110" s="17">
        <f>IFERROR(IF(Y$58&gt;='CBA Inputs'!$H34,MAX('CBA Inputs'!$E34-'CBA Inputs'!$E34/'CBA Inputs'!$I34*(Y$58-'CBA Inputs'!$H34+1),0),0)*IF(Y$58=FirstYear+AnalysisPeriod-1,1,0),0)*CapitalCost_ACTIVE*Y$55</f>
        <v>0</v>
      </c>
      <c r="Z110" s="17">
        <f>IFERROR(IF(Z$58&gt;='CBA Inputs'!$H34,MAX('CBA Inputs'!$E34-'CBA Inputs'!$E34/'CBA Inputs'!$I34*(Z$58-'CBA Inputs'!$H34+1),0),0)*IF(Z$58=FirstYear+AnalysisPeriod-1,1,0),0)*CapitalCost_ACTIVE*Z$55</f>
        <v>0</v>
      </c>
      <c r="AA110" s="17">
        <f>IFERROR(IF(AA$58&gt;='CBA Inputs'!$H34,MAX('CBA Inputs'!$E34-'CBA Inputs'!$E34/'CBA Inputs'!$I34*(AA$58-'CBA Inputs'!$H34+1),0),0)*IF(AA$58=FirstYear+AnalysisPeriod-1,1,0),0)*CapitalCost_ACTIVE*AA$55</f>
        <v>0</v>
      </c>
      <c r="AB110" s="17">
        <f>IFERROR(IF(AB$58&gt;='CBA Inputs'!$H34,MAX('CBA Inputs'!$E34-'CBA Inputs'!$E34/'CBA Inputs'!$I34*(AB$58-'CBA Inputs'!$H34+1),0),0)*IF(AB$58=FirstYear+AnalysisPeriod-1,1,0),0)*CapitalCost_ACTIVE*AB$55</f>
        <v>0</v>
      </c>
      <c r="AC110" s="17">
        <f>IFERROR(IF(AC$58&gt;='CBA Inputs'!$H34,MAX('CBA Inputs'!$E34-'CBA Inputs'!$E34/'CBA Inputs'!$I34*(AC$58-'CBA Inputs'!$H34+1),0),0)*IF(AC$58=FirstYear+AnalysisPeriod-1,1,0),0)*CapitalCost_ACTIVE*AC$55</f>
        <v>0</v>
      </c>
      <c r="AD110" s="17">
        <f>IFERROR(IF(AD$58&gt;='CBA Inputs'!$H34,MAX('CBA Inputs'!$E34-'CBA Inputs'!$E34/'CBA Inputs'!$I34*(AD$58-'CBA Inputs'!$H34+1),0),0)*IF(AD$58=FirstYear+AnalysisPeriod-1,1,0),0)*CapitalCost_ACTIVE*AD$55</f>
        <v>0</v>
      </c>
      <c r="AE110" s="17">
        <f>IFERROR(IF(AE$58&gt;='CBA Inputs'!$H34,MAX('CBA Inputs'!$E34-'CBA Inputs'!$E34/'CBA Inputs'!$I34*(AE$58-'CBA Inputs'!$H34+1),0),0)*IF(AE$58=FirstYear+AnalysisPeriod-1,1,0),0)*CapitalCost_ACTIVE*AE$55</f>
        <v>0</v>
      </c>
      <c r="AF110" s="17">
        <f>IFERROR(IF(AF$58&gt;='CBA Inputs'!$H34,MAX('CBA Inputs'!$E34-'CBA Inputs'!$E34/'CBA Inputs'!$I34*(AF$58-'CBA Inputs'!$H34+1),0),0)*IF(AF$58=FirstYear+AnalysisPeriod-1,1,0),0)*CapitalCost_ACTIVE*AF$55</f>
        <v>632200000</v>
      </c>
      <c r="AG110" s="17">
        <f>IFERROR(IF(AG$58&gt;='CBA Inputs'!$H34,MAX('CBA Inputs'!$E34-'CBA Inputs'!$E34/'CBA Inputs'!$I34*(AG$58-'CBA Inputs'!$H34+1),0),0)*IF(AG$58=FirstYear+AnalysisPeriod-1,1,0),0)*CapitalCost_ACTIVE*AG$55</f>
        <v>0</v>
      </c>
      <c r="AH110" s="17">
        <f>IFERROR(IF(AH$58&gt;='CBA Inputs'!$H34,MAX('CBA Inputs'!$E34-'CBA Inputs'!$E34/'CBA Inputs'!$I34*(AH$58-'CBA Inputs'!$H34+1),0),0)*IF(AH$58=FirstYear+AnalysisPeriod-1,1,0),0)*CapitalCost_ACTIVE*AH$55</f>
        <v>0</v>
      </c>
      <c r="AI110" s="17">
        <f>IFERROR(IF(AI$58&gt;='CBA Inputs'!$H34,MAX('CBA Inputs'!$E34-'CBA Inputs'!$E34/'CBA Inputs'!$I34*(AI$58-'CBA Inputs'!$H34+1),0),0)*IF(AI$58=FirstYear+AnalysisPeriod-1,1,0),0)*CapitalCost_ACTIVE*AI$55</f>
        <v>0</v>
      </c>
      <c r="AJ110" s="17">
        <f>IFERROR(IF(AJ$58&gt;='CBA Inputs'!$H34,MAX('CBA Inputs'!$E34-'CBA Inputs'!$E34/'CBA Inputs'!$I34*(AJ$58-'CBA Inputs'!$H34+1),0),0)*IF(AJ$58=FirstYear+AnalysisPeriod-1,1,0),0)*CapitalCost_ACTIVE*AJ$55</f>
        <v>0</v>
      </c>
      <c r="AM110" s="9">
        <f t="shared" si="35"/>
        <v>11</v>
      </c>
      <c r="AN110" s="26" t="str">
        <f t="shared" si="35"/>
        <v>Option 4B</v>
      </c>
      <c r="AO110" s="26" t="str">
        <f t="shared" si="35"/>
        <v>Substation</v>
      </c>
      <c r="AP110" s="12" t="s">
        <v>35</v>
      </c>
      <c r="AQ110" s="18">
        <f t="shared" si="36"/>
        <v>0</v>
      </c>
      <c r="AR110" s="17">
        <f>IFERROR(IF(G$58&gt;='CBA Inputs'!$R34,MAX('CBA Inputs'!$O34-'CBA Inputs'!$O34/'CBA Inputs'!$S34*(G$58-'CBA Inputs'!$R34+1),0),0)*IF(G$58=FirstYear+AnalysisPeriod-1,1,0),0)*CapitalCost_ACTIVE*G$55*IF(Scenario_Select='CBA Inputs'!$T34,1,0)</f>
        <v>0</v>
      </c>
      <c r="AS110" s="17">
        <f>IFERROR(IF(H$58&gt;='CBA Inputs'!$R34,MAX('CBA Inputs'!$O34-'CBA Inputs'!$O34/'CBA Inputs'!$S34*(H$58-'CBA Inputs'!$R34+1),0),0)*IF(H$58=FirstYear+AnalysisPeriod-1,1,0),0)*CapitalCost_ACTIVE*H$55*IF(Scenario_Select='CBA Inputs'!$T34,1,0)</f>
        <v>0</v>
      </c>
      <c r="AT110" s="17">
        <f>IFERROR(IF(I$58&gt;='CBA Inputs'!$R34,MAX('CBA Inputs'!$O34-'CBA Inputs'!$O34/'CBA Inputs'!$S34*(I$58-'CBA Inputs'!$R34+1),0),0)*IF(I$58=FirstYear+AnalysisPeriod-1,1,0),0)*CapitalCost_ACTIVE*I$55*IF(Scenario_Select='CBA Inputs'!$T34,1,0)</f>
        <v>0</v>
      </c>
      <c r="AU110" s="17">
        <f>IFERROR(IF(J$58&gt;='CBA Inputs'!$R34,MAX('CBA Inputs'!$O34-'CBA Inputs'!$O34/'CBA Inputs'!$S34*(J$58-'CBA Inputs'!$R34+1),0),0)*IF(J$58=FirstYear+AnalysisPeriod-1,1,0),0)*CapitalCost_ACTIVE*J$55*IF(Scenario_Select='CBA Inputs'!$T34,1,0)</f>
        <v>0</v>
      </c>
      <c r="AV110" s="17">
        <f>IFERROR(IF(K$58&gt;='CBA Inputs'!$R34,MAX('CBA Inputs'!$O34-'CBA Inputs'!$O34/'CBA Inputs'!$S34*(K$58-'CBA Inputs'!$R34+1),0),0)*IF(K$58=FirstYear+AnalysisPeriod-1,1,0),0)*CapitalCost_ACTIVE*K$55*IF(Scenario_Select='CBA Inputs'!$T34,1,0)</f>
        <v>0</v>
      </c>
      <c r="AW110" s="17">
        <f>IFERROR(IF(L$58&gt;='CBA Inputs'!$R34,MAX('CBA Inputs'!$O34-'CBA Inputs'!$O34/'CBA Inputs'!$S34*(L$58-'CBA Inputs'!$R34+1),0),0)*IF(L$58=FirstYear+AnalysisPeriod-1,1,0),0)*CapitalCost_ACTIVE*L$55*IF(Scenario_Select='CBA Inputs'!$T34,1,0)</f>
        <v>0</v>
      </c>
      <c r="AX110" s="17">
        <f>IFERROR(IF(M$58&gt;='CBA Inputs'!$R34,MAX('CBA Inputs'!$O34-'CBA Inputs'!$O34/'CBA Inputs'!$S34*(M$58-'CBA Inputs'!$R34+1),0),0)*IF(M$58=FirstYear+AnalysisPeriod-1,1,0),0)*CapitalCost_ACTIVE*M$55*IF(Scenario_Select='CBA Inputs'!$T34,1,0)</f>
        <v>0</v>
      </c>
      <c r="AY110" s="17">
        <f>IFERROR(IF(N$58&gt;='CBA Inputs'!$R34,MAX('CBA Inputs'!$O34-'CBA Inputs'!$O34/'CBA Inputs'!$S34*(N$58-'CBA Inputs'!$R34+1),0),0)*IF(N$58=FirstYear+AnalysisPeriod-1,1,0),0)*CapitalCost_ACTIVE*N$55*IF(Scenario_Select='CBA Inputs'!$T34,1,0)</f>
        <v>0</v>
      </c>
      <c r="AZ110" s="17">
        <f>IFERROR(IF(O$58&gt;='CBA Inputs'!$R34,MAX('CBA Inputs'!$O34-'CBA Inputs'!$O34/'CBA Inputs'!$S34*(O$58-'CBA Inputs'!$R34+1),0),0)*IF(O$58=FirstYear+AnalysisPeriod-1,1,0),0)*CapitalCost_ACTIVE*O$55*IF(Scenario_Select='CBA Inputs'!$T34,1,0)</f>
        <v>0</v>
      </c>
      <c r="BA110" s="17">
        <f>IFERROR(IF(P$58&gt;='CBA Inputs'!$R34,MAX('CBA Inputs'!$O34-'CBA Inputs'!$O34/'CBA Inputs'!$S34*(P$58-'CBA Inputs'!$R34+1),0),0)*IF(P$58=FirstYear+AnalysisPeriod-1,1,0),0)*CapitalCost_ACTIVE*P$55*IF(Scenario_Select='CBA Inputs'!$T34,1,0)</f>
        <v>0</v>
      </c>
      <c r="BB110" s="17">
        <f>IFERROR(IF(Q$58&gt;='CBA Inputs'!$R34,MAX('CBA Inputs'!$O34-'CBA Inputs'!$O34/'CBA Inputs'!$S34*(Q$58-'CBA Inputs'!$R34+1),0),0)*IF(Q$58=FirstYear+AnalysisPeriod-1,1,0),0)*CapitalCost_ACTIVE*Q$55*IF(Scenario_Select='CBA Inputs'!$T34,1,0)</f>
        <v>0</v>
      </c>
      <c r="BC110" s="17">
        <f>IFERROR(IF(R$58&gt;='CBA Inputs'!$R34,MAX('CBA Inputs'!$O34-'CBA Inputs'!$O34/'CBA Inputs'!$S34*(R$58-'CBA Inputs'!$R34+1),0),0)*IF(R$58=FirstYear+AnalysisPeriod-1,1,0),0)*CapitalCost_ACTIVE*R$55*IF(Scenario_Select='CBA Inputs'!$T34,1,0)</f>
        <v>0</v>
      </c>
      <c r="BD110" s="17">
        <f>IFERROR(IF(S$58&gt;='CBA Inputs'!$R34,MAX('CBA Inputs'!$O34-'CBA Inputs'!$O34/'CBA Inputs'!$S34*(S$58-'CBA Inputs'!$R34+1),0),0)*IF(S$58=FirstYear+AnalysisPeriod-1,1,0),0)*CapitalCost_ACTIVE*S$55*IF(Scenario_Select='CBA Inputs'!$T34,1,0)</f>
        <v>0</v>
      </c>
      <c r="BE110" s="17">
        <f>IFERROR(IF(T$58&gt;='CBA Inputs'!$R34,MAX('CBA Inputs'!$O34-'CBA Inputs'!$O34/'CBA Inputs'!$S34*(T$58-'CBA Inputs'!$R34+1),0),0)*IF(T$58=FirstYear+AnalysisPeriod-1,1,0),0)*CapitalCost_ACTIVE*T$55*IF(Scenario_Select='CBA Inputs'!$T34,1,0)</f>
        <v>0</v>
      </c>
      <c r="BF110" s="17">
        <f>IFERROR(IF(U$58&gt;='CBA Inputs'!$R34,MAX('CBA Inputs'!$O34-'CBA Inputs'!$O34/'CBA Inputs'!$S34*(U$58-'CBA Inputs'!$R34+1),0),0)*IF(U$58=FirstYear+AnalysisPeriod-1,1,0),0)*CapitalCost_ACTIVE*U$55*IF(Scenario_Select='CBA Inputs'!$T34,1,0)</f>
        <v>0</v>
      </c>
      <c r="BG110" s="17">
        <f>IFERROR(IF(V$58&gt;='CBA Inputs'!$R34,MAX('CBA Inputs'!$O34-'CBA Inputs'!$O34/'CBA Inputs'!$S34*(V$58-'CBA Inputs'!$R34+1),0),0)*IF(V$58=FirstYear+AnalysisPeriod-1,1,0),0)*CapitalCost_ACTIVE*V$55*IF(Scenario_Select='CBA Inputs'!$T34,1,0)</f>
        <v>0</v>
      </c>
      <c r="BH110" s="17">
        <f>IFERROR(IF(W$58&gt;='CBA Inputs'!$R34,MAX('CBA Inputs'!$O34-'CBA Inputs'!$O34/'CBA Inputs'!$S34*(W$58-'CBA Inputs'!$R34+1),0),0)*IF(W$58=FirstYear+AnalysisPeriod-1,1,0),0)*CapitalCost_ACTIVE*W$55*IF(Scenario_Select='CBA Inputs'!$T34,1,0)</f>
        <v>0</v>
      </c>
      <c r="BI110" s="17">
        <f>IFERROR(IF(X$58&gt;='CBA Inputs'!$R34,MAX('CBA Inputs'!$O34-'CBA Inputs'!$O34/'CBA Inputs'!$S34*(X$58-'CBA Inputs'!$R34+1),0),0)*IF(X$58=FirstYear+AnalysisPeriod-1,1,0),0)*CapitalCost_ACTIVE*X$55*IF(Scenario_Select='CBA Inputs'!$T34,1,0)</f>
        <v>0</v>
      </c>
      <c r="BJ110" s="17">
        <f>IFERROR(IF(Y$58&gt;='CBA Inputs'!$R34,MAX('CBA Inputs'!$O34-'CBA Inputs'!$O34/'CBA Inputs'!$S34*(Y$58-'CBA Inputs'!$R34+1),0),0)*IF(Y$58=FirstYear+AnalysisPeriod-1,1,0),0)*CapitalCost_ACTIVE*Y$55*IF(Scenario_Select='CBA Inputs'!$T34,1,0)</f>
        <v>0</v>
      </c>
      <c r="BK110" s="17">
        <f>IFERROR(IF(Z$58&gt;='CBA Inputs'!$R34,MAX('CBA Inputs'!$O34-'CBA Inputs'!$O34/'CBA Inputs'!$S34*(Z$58-'CBA Inputs'!$R34+1),0),0)*IF(Z$58=FirstYear+AnalysisPeriod-1,1,0),0)*CapitalCost_ACTIVE*Z$55*IF(Scenario_Select='CBA Inputs'!$T34,1,0)</f>
        <v>0</v>
      </c>
      <c r="BL110" s="17">
        <f>IFERROR(IF(AA$58&gt;='CBA Inputs'!$R34,MAX('CBA Inputs'!$O34-'CBA Inputs'!$O34/'CBA Inputs'!$S34*(AA$58-'CBA Inputs'!$R34+1),0),0)*IF(AA$58=FirstYear+AnalysisPeriod-1,1,0),0)*CapitalCost_ACTIVE*AA$55*IF(Scenario_Select='CBA Inputs'!$T34,1,0)</f>
        <v>0</v>
      </c>
      <c r="BM110" s="17">
        <f>IFERROR(IF(AB$58&gt;='CBA Inputs'!$R34,MAX('CBA Inputs'!$O34-'CBA Inputs'!$O34/'CBA Inputs'!$S34*(AB$58-'CBA Inputs'!$R34+1),0),0)*IF(AB$58=FirstYear+AnalysisPeriod-1,1,0),0)*CapitalCost_ACTIVE*AB$55*IF(Scenario_Select='CBA Inputs'!$T34,1,0)</f>
        <v>0</v>
      </c>
      <c r="BN110" s="17">
        <f>IFERROR(IF(AC$58&gt;='CBA Inputs'!$R34,MAX('CBA Inputs'!$O34-'CBA Inputs'!$O34/'CBA Inputs'!$S34*(AC$58-'CBA Inputs'!$R34+1),0),0)*IF(AC$58=FirstYear+AnalysisPeriod-1,1,0),0)*CapitalCost_ACTIVE*AC$55*IF(Scenario_Select='CBA Inputs'!$T34,1,0)</f>
        <v>0</v>
      </c>
      <c r="BO110" s="17">
        <f>IFERROR(IF(AD$58&gt;='CBA Inputs'!$R34,MAX('CBA Inputs'!$O34-'CBA Inputs'!$O34/'CBA Inputs'!$S34*(AD$58-'CBA Inputs'!$R34+1),0),0)*IF(AD$58=FirstYear+AnalysisPeriod-1,1,0),0)*CapitalCost_ACTIVE*AD$55*IF(Scenario_Select='CBA Inputs'!$T34,1,0)</f>
        <v>0</v>
      </c>
      <c r="BP110" s="17">
        <f>IFERROR(IF(AE$58&gt;='CBA Inputs'!$R34,MAX('CBA Inputs'!$O34-'CBA Inputs'!$O34/'CBA Inputs'!$S34*(AE$58-'CBA Inputs'!$R34+1),0),0)*IF(AE$58=FirstYear+AnalysisPeriod-1,1,0),0)*CapitalCost_ACTIVE*AE$55*IF(Scenario_Select='CBA Inputs'!$T34,1,0)</f>
        <v>0</v>
      </c>
      <c r="BQ110" s="17">
        <f>IFERROR(IF(AF$58&gt;='CBA Inputs'!$R34,MAX('CBA Inputs'!$O34-'CBA Inputs'!$O34/'CBA Inputs'!$S34*(AF$58-'CBA Inputs'!$R34+1),0),0)*IF(AF$58=FirstYear+AnalysisPeriod-1,1,0),0)*CapitalCost_ACTIVE*AF$55*IF(Scenario_Select='CBA Inputs'!$T34,1,0)</f>
        <v>0</v>
      </c>
      <c r="BR110" s="17">
        <f>IFERROR(IF(AG$58&gt;='CBA Inputs'!$R34,MAX('CBA Inputs'!$O34-'CBA Inputs'!$O34/'CBA Inputs'!$S34*(AG$58-'CBA Inputs'!$R34+1),0),0)*IF(AG$58=FirstYear+AnalysisPeriod-1,1,0),0)*CapitalCost_ACTIVE*AG$55*IF(Scenario_Select='CBA Inputs'!$T34,1,0)</f>
        <v>0</v>
      </c>
      <c r="BS110" s="17">
        <f>IFERROR(IF(AH$58&gt;='CBA Inputs'!$R34,MAX('CBA Inputs'!$O34-'CBA Inputs'!$O34/'CBA Inputs'!$S34*(AH$58-'CBA Inputs'!$R34+1),0),0)*IF(AH$58=FirstYear+AnalysisPeriod-1,1,0),0)*CapitalCost_ACTIVE*AH$55*IF(Scenario_Select='CBA Inputs'!$T34,1,0)</f>
        <v>0</v>
      </c>
      <c r="BT110" s="17">
        <f>IFERROR(IF(AI$58&gt;='CBA Inputs'!$R34,MAX('CBA Inputs'!$O34-'CBA Inputs'!$O34/'CBA Inputs'!$S34*(AI$58-'CBA Inputs'!$R34+1),0),0)*IF(AI$58=FirstYear+AnalysisPeriod-1,1,0),0)*CapitalCost_ACTIVE*AI$55*IF(Scenario_Select='CBA Inputs'!$T34,1,0)</f>
        <v>0</v>
      </c>
      <c r="BU110" s="17">
        <f>IFERROR(IF(AJ$58&gt;='CBA Inputs'!$R34,MAX('CBA Inputs'!$O34-'CBA Inputs'!$O34/'CBA Inputs'!$S34*(AJ$58-'CBA Inputs'!$R34+1),0),0)*IF(AJ$58=FirstYear+AnalysisPeriod-1,1,0),0)*CapitalCost_ACTIVE*AJ$55*IF(Scenario_Select='CBA Inputs'!$T34,1,0)</f>
        <v>0</v>
      </c>
    </row>
    <row r="111" spans="1:73" x14ac:dyDescent="0.35">
      <c r="B111" s="9">
        <f t="shared" si="30"/>
        <v>8</v>
      </c>
      <c r="C111" s="26" t="str">
        <f t="shared" si="30"/>
        <v>Option 3B</v>
      </c>
      <c r="D111" s="26" t="str">
        <f t="shared" si="33"/>
        <v>Substation</v>
      </c>
      <c r="E111" s="12" t="s">
        <v>35</v>
      </c>
      <c r="F111" s="18">
        <f t="shared" si="34"/>
        <v>14844511.229833303</v>
      </c>
      <c r="G111" s="17">
        <f>IFERROR(IF(G$58&gt;='CBA Inputs'!$H35,MAX('CBA Inputs'!$E35-'CBA Inputs'!$E35/'CBA Inputs'!$I35*(G$58-'CBA Inputs'!$H35+1),0),0)*IF(G$58=FirstYear+AnalysisPeriod-1,1,0),0)*CapitalCost_ACTIVE*G$55</f>
        <v>0</v>
      </c>
      <c r="H111" s="17">
        <f>IFERROR(IF(H$58&gt;='CBA Inputs'!$H35,MAX('CBA Inputs'!$E35-'CBA Inputs'!$E35/'CBA Inputs'!$I35*(H$58-'CBA Inputs'!$H35+1),0),0)*IF(H$58=FirstYear+AnalysisPeriod-1,1,0),0)*CapitalCost_ACTIVE*H$55</f>
        <v>0</v>
      </c>
      <c r="I111" s="17">
        <f>IFERROR(IF(I$58&gt;='CBA Inputs'!$H35,MAX('CBA Inputs'!$E35-'CBA Inputs'!$E35/'CBA Inputs'!$I35*(I$58-'CBA Inputs'!$H35+1),0),0)*IF(I$58=FirstYear+AnalysisPeriod-1,1,0),0)*CapitalCost_ACTIVE*I$55</f>
        <v>0</v>
      </c>
      <c r="J111" s="17">
        <f>IFERROR(IF(J$58&gt;='CBA Inputs'!$H35,MAX('CBA Inputs'!$E35-'CBA Inputs'!$E35/'CBA Inputs'!$I35*(J$58-'CBA Inputs'!$H35+1),0),0)*IF(J$58=FirstYear+AnalysisPeriod-1,1,0),0)*CapitalCost_ACTIVE*J$55</f>
        <v>0</v>
      </c>
      <c r="K111" s="17">
        <f>IFERROR(IF(K$58&gt;='CBA Inputs'!$H35,MAX('CBA Inputs'!$E35-'CBA Inputs'!$E35/'CBA Inputs'!$I35*(K$58-'CBA Inputs'!$H35+1),0),0)*IF(K$58=FirstYear+AnalysisPeriod-1,1,0),0)*CapitalCost_ACTIVE*K$55</f>
        <v>0</v>
      </c>
      <c r="L111" s="17">
        <f>IFERROR(IF(L$58&gt;='CBA Inputs'!$H35,MAX('CBA Inputs'!$E35-'CBA Inputs'!$E35/'CBA Inputs'!$I35*(L$58-'CBA Inputs'!$H35+1),0),0)*IF(L$58=FirstYear+AnalysisPeriod-1,1,0),0)*CapitalCost_ACTIVE*L$55</f>
        <v>0</v>
      </c>
      <c r="M111" s="17">
        <f>IFERROR(IF(M$58&gt;='CBA Inputs'!$H35,MAX('CBA Inputs'!$E35-'CBA Inputs'!$E35/'CBA Inputs'!$I35*(M$58-'CBA Inputs'!$H35+1),0),0)*IF(M$58=FirstYear+AnalysisPeriod-1,1,0),0)*CapitalCost_ACTIVE*M$55</f>
        <v>0</v>
      </c>
      <c r="N111" s="17">
        <f>IFERROR(IF(N$58&gt;='CBA Inputs'!$H35,MAX('CBA Inputs'!$E35-'CBA Inputs'!$E35/'CBA Inputs'!$I35*(N$58-'CBA Inputs'!$H35+1),0),0)*IF(N$58=FirstYear+AnalysisPeriod-1,1,0),0)*CapitalCost_ACTIVE*N$55</f>
        <v>0</v>
      </c>
      <c r="O111" s="17">
        <f>IFERROR(IF(O$58&gt;='CBA Inputs'!$H35,MAX('CBA Inputs'!$E35-'CBA Inputs'!$E35/'CBA Inputs'!$I35*(O$58-'CBA Inputs'!$H35+1),0),0)*IF(O$58=FirstYear+AnalysisPeriod-1,1,0),0)*CapitalCost_ACTIVE*O$55</f>
        <v>0</v>
      </c>
      <c r="P111" s="17">
        <f>IFERROR(IF(P$58&gt;='CBA Inputs'!$H35,MAX('CBA Inputs'!$E35-'CBA Inputs'!$E35/'CBA Inputs'!$I35*(P$58-'CBA Inputs'!$H35+1),0),0)*IF(P$58=FirstYear+AnalysisPeriod-1,1,0),0)*CapitalCost_ACTIVE*P$55</f>
        <v>0</v>
      </c>
      <c r="Q111" s="17">
        <f>IFERROR(IF(Q$58&gt;='CBA Inputs'!$H35,MAX('CBA Inputs'!$E35-'CBA Inputs'!$E35/'CBA Inputs'!$I35*(Q$58-'CBA Inputs'!$H35+1),0),0)*IF(Q$58=FirstYear+AnalysisPeriod-1,1,0),0)*CapitalCost_ACTIVE*Q$55</f>
        <v>0</v>
      </c>
      <c r="R111" s="17">
        <f>IFERROR(IF(R$58&gt;='CBA Inputs'!$H35,MAX('CBA Inputs'!$E35-'CBA Inputs'!$E35/'CBA Inputs'!$I35*(R$58-'CBA Inputs'!$H35+1),0),0)*IF(R$58=FirstYear+AnalysisPeriod-1,1,0),0)*CapitalCost_ACTIVE*R$55</f>
        <v>0</v>
      </c>
      <c r="S111" s="17">
        <f>IFERROR(IF(S$58&gt;='CBA Inputs'!$H35,MAX('CBA Inputs'!$E35-'CBA Inputs'!$E35/'CBA Inputs'!$I35*(S$58-'CBA Inputs'!$H35+1),0),0)*IF(S$58=FirstYear+AnalysisPeriod-1,1,0),0)*CapitalCost_ACTIVE*S$55</f>
        <v>0</v>
      </c>
      <c r="T111" s="17">
        <f>IFERROR(IF(T$58&gt;='CBA Inputs'!$H35,MAX('CBA Inputs'!$E35-'CBA Inputs'!$E35/'CBA Inputs'!$I35*(T$58-'CBA Inputs'!$H35+1),0),0)*IF(T$58=FirstYear+AnalysisPeriod-1,1,0),0)*CapitalCost_ACTIVE*T$55</f>
        <v>0</v>
      </c>
      <c r="U111" s="17">
        <f>IFERROR(IF(U$58&gt;='CBA Inputs'!$H35,MAX('CBA Inputs'!$E35-'CBA Inputs'!$E35/'CBA Inputs'!$I35*(U$58-'CBA Inputs'!$H35+1),0),0)*IF(U$58=FirstYear+AnalysisPeriod-1,1,0),0)*CapitalCost_ACTIVE*U$55</f>
        <v>0</v>
      </c>
      <c r="V111" s="17">
        <f>IFERROR(IF(V$58&gt;='CBA Inputs'!$H35,MAX('CBA Inputs'!$E35-'CBA Inputs'!$E35/'CBA Inputs'!$I35*(V$58-'CBA Inputs'!$H35+1),0),0)*IF(V$58=FirstYear+AnalysisPeriod-1,1,0),0)*CapitalCost_ACTIVE*V$55</f>
        <v>0</v>
      </c>
      <c r="W111" s="17">
        <f>IFERROR(IF(W$58&gt;='CBA Inputs'!$H35,MAX('CBA Inputs'!$E35-'CBA Inputs'!$E35/'CBA Inputs'!$I35*(W$58-'CBA Inputs'!$H35+1),0),0)*IF(W$58=FirstYear+AnalysisPeriod-1,1,0),0)*CapitalCost_ACTIVE*W$55</f>
        <v>0</v>
      </c>
      <c r="X111" s="17">
        <f>IFERROR(IF(X$58&gt;='CBA Inputs'!$H35,MAX('CBA Inputs'!$E35-'CBA Inputs'!$E35/'CBA Inputs'!$I35*(X$58-'CBA Inputs'!$H35+1),0),0)*IF(X$58=FirstYear+AnalysisPeriod-1,1,0),0)*CapitalCost_ACTIVE*X$55</f>
        <v>0</v>
      </c>
      <c r="Y111" s="17">
        <f>IFERROR(IF(Y$58&gt;='CBA Inputs'!$H35,MAX('CBA Inputs'!$E35-'CBA Inputs'!$E35/'CBA Inputs'!$I35*(Y$58-'CBA Inputs'!$H35+1),0),0)*IF(Y$58=FirstYear+AnalysisPeriod-1,1,0),0)*CapitalCost_ACTIVE*Y$55</f>
        <v>0</v>
      </c>
      <c r="Z111" s="17">
        <f>IFERROR(IF(Z$58&gt;='CBA Inputs'!$H35,MAX('CBA Inputs'!$E35-'CBA Inputs'!$E35/'CBA Inputs'!$I35*(Z$58-'CBA Inputs'!$H35+1),0),0)*IF(Z$58=FirstYear+AnalysisPeriod-1,1,0),0)*CapitalCost_ACTIVE*Z$55</f>
        <v>0</v>
      </c>
      <c r="AA111" s="17">
        <f>IFERROR(IF(AA$58&gt;='CBA Inputs'!$H35,MAX('CBA Inputs'!$E35-'CBA Inputs'!$E35/'CBA Inputs'!$I35*(AA$58-'CBA Inputs'!$H35+1),0),0)*IF(AA$58=FirstYear+AnalysisPeriod-1,1,0),0)*CapitalCost_ACTIVE*AA$55</f>
        <v>0</v>
      </c>
      <c r="AB111" s="17">
        <f>IFERROR(IF(AB$58&gt;='CBA Inputs'!$H35,MAX('CBA Inputs'!$E35-'CBA Inputs'!$E35/'CBA Inputs'!$I35*(AB$58-'CBA Inputs'!$H35+1),0),0)*IF(AB$58=FirstYear+AnalysisPeriod-1,1,0),0)*CapitalCost_ACTIVE*AB$55</f>
        <v>0</v>
      </c>
      <c r="AC111" s="17">
        <f>IFERROR(IF(AC$58&gt;='CBA Inputs'!$H35,MAX('CBA Inputs'!$E35-'CBA Inputs'!$E35/'CBA Inputs'!$I35*(AC$58-'CBA Inputs'!$H35+1),0),0)*IF(AC$58=FirstYear+AnalysisPeriod-1,1,0),0)*CapitalCost_ACTIVE*AC$55</f>
        <v>0</v>
      </c>
      <c r="AD111" s="17">
        <f>IFERROR(IF(AD$58&gt;='CBA Inputs'!$H35,MAX('CBA Inputs'!$E35-'CBA Inputs'!$E35/'CBA Inputs'!$I35*(AD$58-'CBA Inputs'!$H35+1),0),0)*IF(AD$58=FirstYear+AnalysisPeriod-1,1,0),0)*CapitalCost_ACTIVE*AD$55</f>
        <v>0</v>
      </c>
      <c r="AE111" s="17">
        <f>IFERROR(IF(AE$58&gt;='CBA Inputs'!$H35,MAX('CBA Inputs'!$E35-'CBA Inputs'!$E35/'CBA Inputs'!$I35*(AE$58-'CBA Inputs'!$H35+1),0),0)*IF(AE$58=FirstYear+AnalysisPeriod-1,1,0),0)*CapitalCost_ACTIVE*AE$55</f>
        <v>0</v>
      </c>
      <c r="AF111" s="17">
        <f>IFERROR(IF(AF$58&gt;='CBA Inputs'!$H35,MAX('CBA Inputs'!$E35-'CBA Inputs'!$E35/'CBA Inputs'!$I35*(AF$58-'CBA Inputs'!$H35+1),0),0)*IF(AF$58=FirstYear+AnalysisPeriod-1,1,0),0)*CapitalCost_ACTIVE*AF$55</f>
        <v>62225000</v>
      </c>
      <c r="AG111" s="17">
        <f>IFERROR(IF(AG$58&gt;='CBA Inputs'!$H35,MAX('CBA Inputs'!$E35-'CBA Inputs'!$E35/'CBA Inputs'!$I35*(AG$58-'CBA Inputs'!$H35+1),0),0)*IF(AG$58=FirstYear+AnalysisPeriod-1,1,0),0)*CapitalCost_ACTIVE*AG$55</f>
        <v>0</v>
      </c>
      <c r="AH111" s="17">
        <f>IFERROR(IF(AH$58&gt;='CBA Inputs'!$H35,MAX('CBA Inputs'!$E35-'CBA Inputs'!$E35/'CBA Inputs'!$I35*(AH$58-'CBA Inputs'!$H35+1),0),0)*IF(AH$58=FirstYear+AnalysisPeriod-1,1,0),0)*CapitalCost_ACTIVE*AH$55</f>
        <v>0</v>
      </c>
      <c r="AI111" s="17">
        <f>IFERROR(IF(AI$58&gt;='CBA Inputs'!$H35,MAX('CBA Inputs'!$E35-'CBA Inputs'!$E35/'CBA Inputs'!$I35*(AI$58-'CBA Inputs'!$H35+1),0),0)*IF(AI$58=FirstYear+AnalysisPeriod-1,1,0),0)*CapitalCost_ACTIVE*AI$55</f>
        <v>0</v>
      </c>
      <c r="AJ111" s="17">
        <f>IFERROR(IF(AJ$58&gt;='CBA Inputs'!$H35,MAX('CBA Inputs'!$E35-'CBA Inputs'!$E35/'CBA Inputs'!$I35*(AJ$58-'CBA Inputs'!$H35+1),0),0)*IF(AJ$58=FirstYear+AnalysisPeriod-1,1,0),0)*CapitalCost_ACTIVE*AJ$55</f>
        <v>0</v>
      </c>
      <c r="AM111" s="9">
        <f t="shared" si="35"/>
        <v>11</v>
      </c>
      <c r="AN111" s="26" t="str">
        <f t="shared" si="35"/>
        <v>Option 4B</v>
      </c>
      <c r="AO111" s="26" t="str">
        <f t="shared" si="35"/>
        <v>Substation</v>
      </c>
      <c r="AP111" s="12" t="s">
        <v>35</v>
      </c>
      <c r="AQ111" s="18">
        <f t="shared" si="36"/>
        <v>0</v>
      </c>
      <c r="AR111" s="17">
        <f>IFERROR(IF(G$58&gt;='CBA Inputs'!$R35,MAX('CBA Inputs'!$O35-'CBA Inputs'!$O35/'CBA Inputs'!$S35*(G$58-'CBA Inputs'!$R35+1),0),0)*IF(G$58=FirstYear+AnalysisPeriod-1,1,0),0)*CapitalCost_ACTIVE*G$55*IF(Scenario_Select='CBA Inputs'!$T35,1,0)</f>
        <v>0</v>
      </c>
      <c r="AS111" s="17">
        <f>IFERROR(IF(H$58&gt;='CBA Inputs'!$R35,MAX('CBA Inputs'!$O35-'CBA Inputs'!$O35/'CBA Inputs'!$S35*(H$58-'CBA Inputs'!$R35+1),0),0)*IF(H$58=FirstYear+AnalysisPeriod-1,1,0),0)*CapitalCost_ACTIVE*H$55*IF(Scenario_Select='CBA Inputs'!$T35,1,0)</f>
        <v>0</v>
      </c>
      <c r="AT111" s="17">
        <f>IFERROR(IF(I$58&gt;='CBA Inputs'!$R35,MAX('CBA Inputs'!$O35-'CBA Inputs'!$O35/'CBA Inputs'!$S35*(I$58-'CBA Inputs'!$R35+1),0),0)*IF(I$58=FirstYear+AnalysisPeriod-1,1,0),0)*CapitalCost_ACTIVE*I$55*IF(Scenario_Select='CBA Inputs'!$T35,1,0)</f>
        <v>0</v>
      </c>
      <c r="AU111" s="17">
        <f>IFERROR(IF(J$58&gt;='CBA Inputs'!$R35,MAX('CBA Inputs'!$O35-'CBA Inputs'!$O35/'CBA Inputs'!$S35*(J$58-'CBA Inputs'!$R35+1),0),0)*IF(J$58=FirstYear+AnalysisPeriod-1,1,0),0)*CapitalCost_ACTIVE*J$55*IF(Scenario_Select='CBA Inputs'!$T35,1,0)</f>
        <v>0</v>
      </c>
      <c r="AV111" s="17">
        <f>IFERROR(IF(K$58&gt;='CBA Inputs'!$R35,MAX('CBA Inputs'!$O35-'CBA Inputs'!$O35/'CBA Inputs'!$S35*(K$58-'CBA Inputs'!$R35+1),0),0)*IF(K$58=FirstYear+AnalysisPeriod-1,1,0),0)*CapitalCost_ACTIVE*K$55*IF(Scenario_Select='CBA Inputs'!$T35,1,0)</f>
        <v>0</v>
      </c>
      <c r="AW111" s="17">
        <f>IFERROR(IF(L$58&gt;='CBA Inputs'!$R35,MAX('CBA Inputs'!$O35-'CBA Inputs'!$O35/'CBA Inputs'!$S35*(L$58-'CBA Inputs'!$R35+1),0),0)*IF(L$58=FirstYear+AnalysisPeriod-1,1,0),0)*CapitalCost_ACTIVE*L$55*IF(Scenario_Select='CBA Inputs'!$T35,1,0)</f>
        <v>0</v>
      </c>
      <c r="AX111" s="17">
        <f>IFERROR(IF(M$58&gt;='CBA Inputs'!$R35,MAX('CBA Inputs'!$O35-'CBA Inputs'!$O35/'CBA Inputs'!$S35*(M$58-'CBA Inputs'!$R35+1),0),0)*IF(M$58=FirstYear+AnalysisPeriod-1,1,0),0)*CapitalCost_ACTIVE*M$55*IF(Scenario_Select='CBA Inputs'!$T35,1,0)</f>
        <v>0</v>
      </c>
      <c r="AY111" s="17">
        <f>IFERROR(IF(N$58&gt;='CBA Inputs'!$R35,MAX('CBA Inputs'!$O35-'CBA Inputs'!$O35/'CBA Inputs'!$S35*(N$58-'CBA Inputs'!$R35+1),0),0)*IF(N$58=FirstYear+AnalysisPeriod-1,1,0),0)*CapitalCost_ACTIVE*N$55*IF(Scenario_Select='CBA Inputs'!$T35,1,0)</f>
        <v>0</v>
      </c>
      <c r="AZ111" s="17">
        <f>IFERROR(IF(O$58&gt;='CBA Inputs'!$R35,MAX('CBA Inputs'!$O35-'CBA Inputs'!$O35/'CBA Inputs'!$S35*(O$58-'CBA Inputs'!$R35+1),0),0)*IF(O$58=FirstYear+AnalysisPeriod-1,1,0),0)*CapitalCost_ACTIVE*O$55*IF(Scenario_Select='CBA Inputs'!$T35,1,0)</f>
        <v>0</v>
      </c>
      <c r="BA111" s="17">
        <f>IFERROR(IF(P$58&gt;='CBA Inputs'!$R35,MAX('CBA Inputs'!$O35-'CBA Inputs'!$O35/'CBA Inputs'!$S35*(P$58-'CBA Inputs'!$R35+1),0),0)*IF(P$58=FirstYear+AnalysisPeriod-1,1,0),0)*CapitalCost_ACTIVE*P$55*IF(Scenario_Select='CBA Inputs'!$T35,1,0)</f>
        <v>0</v>
      </c>
      <c r="BB111" s="17">
        <f>IFERROR(IF(Q$58&gt;='CBA Inputs'!$R35,MAX('CBA Inputs'!$O35-'CBA Inputs'!$O35/'CBA Inputs'!$S35*(Q$58-'CBA Inputs'!$R35+1),0),0)*IF(Q$58=FirstYear+AnalysisPeriod-1,1,0),0)*CapitalCost_ACTIVE*Q$55*IF(Scenario_Select='CBA Inputs'!$T35,1,0)</f>
        <v>0</v>
      </c>
      <c r="BC111" s="17">
        <f>IFERROR(IF(R$58&gt;='CBA Inputs'!$R35,MAX('CBA Inputs'!$O35-'CBA Inputs'!$O35/'CBA Inputs'!$S35*(R$58-'CBA Inputs'!$R35+1),0),0)*IF(R$58=FirstYear+AnalysisPeriod-1,1,0),0)*CapitalCost_ACTIVE*R$55*IF(Scenario_Select='CBA Inputs'!$T35,1,0)</f>
        <v>0</v>
      </c>
      <c r="BD111" s="17">
        <f>IFERROR(IF(S$58&gt;='CBA Inputs'!$R35,MAX('CBA Inputs'!$O35-'CBA Inputs'!$O35/'CBA Inputs'!$S35*(S$58-'CBA Inputs'!$R35+1),0),0)*IF(S$58=FirstYear+AnalysisPeriod-1,1,0),0)*CapitalCost_ACTIVE*S$55*IF(Scenario_Select='CBA Inputs'!$T35,1,0)</f>
        <v>0</v>
      </c>
      <c r="BE111" s="17">
        <f>IFERROR(IF(T$58&gt;='CBA Inputs'!$R35,MAX('CBA Inputs'!$O35-'CBA Inputs'!$O35/'CBA Inputs'!$S35*(T$58-'CBA Inputs'!$R35+1),0),0)*IF(T$58=FirstYear+AnalysisPeriod-1,1,0),0)*CapitalCost_ACTIVE*T$55*IF(Scenario_Select='CBA Inputs'!$T35,1,0)</f>
        <v>0</v>
      </c>
      <c r="BF111" s="17">
        <f>IFERROR(IF(U$58&gt;='CBA Inputs'!$R35,MAX('CBA Inputs'!$O35-'CBA Inputs'!$O35/'CBA Inputs'!$S35*(U$58-'CBA Inputs'!$R35+1),0),0)*IF(U$58=FirstYear+AnalysisPeriod-1,1,0),0)*CapitalCost_ACTIVE*U$55*IF(Scenario_Select='CBA Inputs'!$T35,1,0)</f>
        <v>0</v>
      </c>
      <c r="BG111" s="17">
        <f>IFERROR(IF(V$58&gt;='CBA Inputs'!$R35,MAX('CBA Inputs'!$O35-'CBA Inputs'!$O35/'CBA Inputs'!$S35*(V$58-'CBA Inputs'!$R35+1),0),0)*IF(V$58=FirstYear+AnalysisPeriod-1,1,0),0)*CapitalCost_ACTIVE*V$55*IF(Scenario_Select='CBA Inputs'!$T35,1,0)</f>
        <v>0</v>
      </c>
      <c r="BH111" s="17">
        <f>IFERROR(IF(W$58&gt;='CBA Inputs'!$R35,MAX('CBA Inputs'!$O35-'CBA Inputs'!$O35/'CBA Inputs'!$S35*(W$58-'CBA Inputs'!$R35+1),0),0)*IF(W$58=FirstYear+AnalysisPeriod-1,1,0),0)*CapitalCost_ACTIVE*W$55*IF(Scenario_Select='CBA Inputs'!$T35,1,0)</f>
        <v>0</v>
      </c>
      <c r="BI111" s="17">
        <f>IFERROR(IF(X$58&gt;='CBA Inputs'!$R35,MAX('CBA Inputs'!$O35-'CBA Inputs'!$O35/'CBA Inputs'!$S35*(X$58-'CBA Inputs'!$R35+1),0),0)*IF(X$58=FirstYear+AnalysisPeriod-1,1,0),0)*CapitalCost_ACTIVE*X$55*IF(Scenario_Select='CBA Inputs'!$T35,1,0)</f>
        <v>0</v>
      </c>
      <c r="BJ111" s="17">
        <f>IFERROR(IF(Y$58&gt;='CBA Inputs'!$R35,MAX('CBA Inputs'!$O35-'CBA Inputs'!$O35/'CBA Inputs'!$S35*(Y$58-'CBA Inputs'!$R35+1),0),0)*IF(Y$58=FirstYear+AnalysisPeriod-1,1,0),0)*CapitalCost_ACTIVE*Y$55*IF(Scenario_Select='CBA Inputs'!$T35,1,0)</f>
        <v>0</v>
      </c>
      <c r="BK111" s="17">
        <f>IFERROR(IF(Z$58&gt;='CBA Inputs'!$R35,MAX('CBA Inputs'!$O35-'CBA Inputs'!$O35/'CBA Inputs'!$S35*(Z$58-'CBA Inputs'!$R35+1),0),0)*IF(Z$58=FirstYear+AnalysisPeriod-1,1,0),0)*CapitalCost_ACTIVE*Z$55*IF(Scenario_Select='CBA Inputs'!$T35,1,0)</f>
        <v>0</v>
      </c>
      <c r="BL111" s="17">
        <f>IFERROR(IF(AA$58&gt;='CBA Inputs'!$R35,MAX('CBA Inputs'!$O35-'CBA Inputs'!$O35/'CBA Inputs'!$S35*(AA$58-'CBA Inputs'!$R35+1),0),0)*IF(AA$58=FirstYear+AnalysisPeriod-1,1,0),0)*CapitalCost_ACTIVE*AA$55*IF(Scenario_Select='CBA Inputs'!$T35,1,0)</f>
        <v>0</v>
      </c>
      <c r="BM111" s="17">
        <f>IFERROR(IF(AB$58&gt;='CBA Inputs'!$R35,MAX('CBA Inputs'!$O35-'CBA Inputs'!$O35/'CBA Inputs'!$S35*(AB$58-'CBA Inputs'!$R35+1),0),0)*IF(AB$58=FirstYear+AnalysisPeriod-1,1,0),0)*CapitalCost_ACTIVE*AB$55*IF(Scenario_Select='CBA Inputs'!$T35,1,0)</f>
        <v>0</v>
      </c>
      <c r="BN111" s="17">
        <f>IFERROR(IF(AC$58&gt;='CBA Inputs'!$R35,MAX('CBA Inputs'!$O35-'CBA Inputs'!$O35/'CBA Inputs'!$S35*(AC$58-'CBA Inputs'!$R35+1),0),0)*IF(AC$58=FirstYear+AnalysisPeriod-1,1,0),0)*CapitalCost_ACTIVE*AC$55*IF(Scenario_Select='CBA Inputs'!$T35,1,0)</f>
        <v>0</v>
      </c>
      <c r="BO111" s="17">
        <f>IFERROR(IF(AD$58&gt;='CBA Inputs'!$R35,MAX('CBA Inputs'!$O35-'CBA Inputs'!$O35/'CBA Inputs'!$S35*(AD$58-'CBA Inputs'!$R35+1),0),0)*IF(AD$58=FirstYear+AnalysisPeriod-1,1,0),0)*CapitalCost_ACTIVE*AD$55*IF(Scenario_Select='CBA Inputs'!$T35,1,0)</f>
        <v>0</v>
      </c>
      <c r="BP111" s="17">
        <f>IFERROR(IF(AE$58&gt;='CBA Inputs'!$R35,MAX('CBA Inputs'!$O35-'CBA Inputs'!$O35/'CBA Inputs'!$S35*(AE$58-'CBA Inputs'!$R35+1),0),0)*IF(AE$58=FirstYear+AnalysisPeriod-1,1,0),0)*CapitalCost_ACTIVE*AE$55*IF(Scenario_Select='CBA Inputs'!$T35,1,0)</f>
        <v>0</v>
      </c>
      <c r="BQ111" s="17">
        <f>IFERROR(IF(AF$58&gt;='CBA Inputs'!$R35,MAX('CBA Inputs'!$O35-'CBA Inputs'!$O35/'CBA Inputs'!$S35*(AF$58-'CBA Inputs'!$R35+1),0),0)*IF(AF$58=FirstYear+AnalysisPeriod-1,1,0),0)*CapitalCost_ACTIVE*AF$55*IF(Scenario_Select='CBA Inputs'!$T35,1,0)</f>
        <v>0</v>
      </c>
      <c r="BR111" s="17">
        <f>IFERROR(IF(AG$58&gt;='CBA Inputs'!$R35,MAX('CBA Inputs'!$O35-'CBA Inputs'!$O35/'CBA Inputs'!$S35*(AG$58-'CBA Inputs'!$R35+1),0),0)*IF(AG$58=FirstYear+AnalysisPeriod-1,1,0),0)*CapitalCost_ACTIVE*AG$55*IF(Scenario_Select='CBA Inputs'!$T35,1,0)</f>
        <v>0</v>
      </c>
      <c r="BS111" s="17">
        <f>IFERROR(IF(AH$58&gt;='CBA Inputs'!$R35,MAX('CBA Inputs'!$O35-'CBA Inputs'!$O35/'CBA Inputs'!$S35*(AH$58-'CBA Inputs'!$R35+1),0),0)*IF(AH$58=FirstYear+AnalysisPeriod-1,1,0),0)*CapitalCost_ACTIVE*AH$55*IF(Scenario_Select='CBA Inputs'!$T35,1,0)</f>
        <v>0</v>
      </c>
      <c r="BT111" s="17">
        <f>IFERROR(IF(AI$58&gt;='CBA Inputs'!$R35,MAX('CBA Inputs'!$O35-'CBA Inputs'!$O35/'CBA Inputs'!$S35*(AI$58-'CBA Inputs'!$R35+1),0),0)*IF(AI$58=FirstYear+AnalysisPeriod-1,1,0),0)*CapitalCost_ACTIVE*AI$55*IF(Scenario_Select='CBA Inputs'!$T35,1,0)</f>
        <v>0</v>
      </c>
      <c r="BU111" s="17">
        <f>IFERROR(IF(AJ$58&gt;='CBA Inputs'!$R35,MAX('CBA Inputs'!$O35-'CBA Inputs'!$O35/'CBA Inputs'!$S35*(AJ$58-'CBA Inputs'!$R35+1),0),0)*IF(AJ$58=FirstYear+AnalysisPeriod-1,1,0),0)*CapitalCost_ACTIVE*AJ$55*IF(Scenario_Select='CBA Inputs'!$T35,1,0)</f>
        <v>0</v>
      </c>
    </row>
    <row r="112" spans="1:73" x14ac:dyDescent="0.35">
      <c r="B112" s="9">
        <f t="shared" si="30"/>
        <v>9</v>
      </c>
      <c r="C112" s="26" t="str">
        <f t="shared" si="30"/>
        <v>Option 3C</v>
      </c>
      <c r="D112" s="26" t="str">
        <f t="shared" si="33"/>
        <v>Lines</v>
      </c>
      <c r="E112" s="12" t="s">
        <v>35</v>
      </c>
      <c r="F112" s="18">
        <f t="shared" si="34"/>
        <v>150818802.72399539</v>
      </c>
      <c r="G112" s="17">
        <f>IFERROR(IF(G$58&gt;='CBA Inputs'!$H36,MAX('CBA Inputs'!$E36-'CBA Inputs'!$E36/'CBA Inputs'!$I36*(G$58-'CBA Inputs'!$H36+1),0),0)*IF(G$58=FirstYear+AnalysisPeriod-1,1,0),0)*CapitalCost_ACTIVE*G$55</f>
        <v>0</v>
      </c>
      <c r="H112" s="17">
        <f>IFERROR(IF(H$58&gt;='CBA Inputs'!$H36,MAX('CBA Inputs'!$E36-'CBA Inputs'!$E36/'CBA Inputs'!$I36*(H$58-'CBA Inputs'!$H36+1),0),0)*IF(H$58=FirstYear+AnalysisPeriod-1,1,0),0)*CapitalCost_ACTIVE*H$55</f>
        <v>0</v>
      </c>
      <c r="I112" s="17">
        <f>IFERROR(IF(I$58&gt;='CBA Inputs'!$H36,MAX('CBA Inputs'!$E36-'CBA Inputs'!$E36/'CBA Inputs'!$I36*(I$58-'CBA Inputs'!$H36+1),0),0)*IF(I$58=FirstYear+AnalysisPeriod-1,1,0),0)*CapitalCost_ACTIVE*I$55</f>
        <v>0</v>
      </c>
      <c r="J112" s="17">
        <f>IFERROR(IF(J$58&gt;='CBA Inputs'!$H36,MAX('CBA Inputs'!$E36-'CBA Inputs'!$E36/'CBA Inputs'!$I36*(J$58-'CBA Inputs'!$H36+1),0),0)*IF(J$58=FirstYear+AnalysisPeriod-1,1,0),0)*CapitalCost_ACTIVE*J$55</f>
        <v>0</v>
      </c>
      <c r="K112" s="17">
        <f>IFERROR(IF(K$58&gt;='CBA Inputs'!$H36,MAX('CBA Inputs'!$E36-'CBA Inputs'!$E36/'CBA Inputs'!$I36*(K$58-'CBA Inputs'!$H36+1),0),0)*IF(K$58=FirstYear+AnalysisPeriod-1,1,0),0)*CapitalCost_ACTIVE*K$55</f>
        <v>0</v>
      </c>
      <c r="L112" s="17">
        <f>IFERROR(IF(L$58&gt;='CBA Inputs'!$H36,MAX('CBA Inputs'!$E36-'CBA Inputs'!$E36/'CBA Inputs'!$I36*(L$58-'CBA Inputs'!$H36+1),0),0)*IF(L$58=FirstYear+AnalysisPeriod-1,1,0),0)*CapitalCost_ACTIVE*L$55</f>
        <v>0</v>
      </c>
      <c r="M112" s="17">
        <f>IFERROR(IF(M$58&gt;='CBA Inputs'!$H36,MAX('CBA Inputs'!$E36-'CBA Inputs'!$E36/'CBA Inputs'!$I36*(M$58-'CBA Inputs'!$H36+1),0),0)*IF(M$58=FirstYear+AnalysisPeriod-1,1,0),0)*CapitalCost_ACTIVE*M$55</f>
        <v>0</v>
      </c>
      <c r="N112" s="17">
        <f>IFERROR(IF(N$58&gt;='CBA Inputs'!$H36,MAX('CBA Inputs'!$E36-'CBA Inputs'!$E36/'CBA Inputs'!$I36*(N$58-'CBA Inputs'!$H36+1),0),0)*IF(N$58=FirstYear+AnalysisPeriod-1,1,0),0)*CapitalCost_ACTIVE*N$55</f>
        <v>0</v>
      </c>
      <c r="O112" s="17">
        <f>IFERROR(IF(O$58&gt;='CBA Inputs'!$H36,MAX('CBA Inputs'!$E36-'CBA Inputs'!$E36/'CBA Inputs'!$I36*(O$58-'CBA Inputs'!$H36+1),0),0)*IF(O$58=FirstYear+AnalysisPeriod-1,1,0),0)*CapitalCost_ACTIVE*O$55</f>
        <v>0</v>
      </c>
      <c r="P112" s="17">
        <f>IFERROR(IF(P$58&gt;='CBA Inputs'!$H36,MAX('CBA Inputs'!$E36-'CBA Inputs'!$E36/'CBA Inputs'!$I36*(P$58-'CBA Inputs'!$H36+1),0),0)*IF(P$58=FirstYear+AnalysisPeriod-1,1,0),0)*CapitalCost_ACTIVE*P$55</f>
        <v>0</v>
      </c>
      <c r="Q112" s="17">
        <f>IFERROR(IF(Q$58&gt;='CBA Inputs'!$H36,MAX('CBA Inputs'!$E36-'CBA Inputs'!$E36/'CBA Inputs'!$I36*(Q$58-'CBA Inputs'!$H36+1),0),0)*IF(Q$58=FirstYear+AnalysisPeriod-1,1,0),0)*CapitalCost_ACTIVE*Q$55</f>
        <v>0</v>
      </c>
      <c r="R112" s="17">
        <f>IFERROR(IF(R$58&gt;='CBA Inputs'!$H36,MAX('CBA Inputs'!$E36-'CBA Inputs'!$E36/'CBA Inputs'!$I36*(R$58-'CBA Inputs'!$H36+1),0),0)*IF(R$58=FirstYear+AnalysisPeriod-1,1,0),0)*CapitalCost_ACTIVE*R$55</f>
        <v>0</v>
      </c>
      <c r="S112" s="17">
        <f>IFERROR(IF(S$58&gt;='CBA Inputs'!$H36,MAX('CBA Inputs'!$E36-'CBA Inputs'!$E36/'CBA Inputs'!$I36*(S$58-'CBA Inputs'!$H36+1),0),0)*IF(S$58=FirstYear+AnalysisPeriod-1,1,0),0)*CapitalCost_ACTIVE*S$55</f>
        <v>0</v>
      </c>
      <c r="T112" s="17">
        <f>IFERROR(IF(T$58&gt;='CBA Inputs'!$H36,MAX('CBA Inputs'!$E36-'CBA Inputs'!$E36/'CBA Inputs'!$I36*(T$58-'CBA Inputs'!$H36+1),0),0)*IF(T$58=FirstYear+AnalysisPeriod-1,1,0),0)*CapitalCost_ACTIVE*T$55</f>
        <v>0</v>
      </c>
      <c r="U112" s="17">
        <f>IFERROR(IF(U$58&gt;='CBA Inputs'!$H36,MAX('CBA Inputs'!$E36-'CBA Inputs'!$E36/'CBA Inputs'!$I36*(U$58-'CBA Inputs'!$H36+1),0),0)*IF(U$58=FirstYear+AnalysisPeriod-1,1,0),0)*CapitalCost_ACTIVE*U$55</f>
        <v>0</v>
      </c>
      <c r="V112" s="17">
        <f>IFERROR(IF(V$58&gt;='CBA Inputs'!$H36,MAX('CBA Inputs'!$E36-'CBA Inputs'!$E36/'CBA Inputs'!$I36*(V$58-'CBA Inputs'!$H36+1),0),0)*IF(V$58=FirstYear+AnalysisPeriod-1,1,0),0)*CapitalCost_ACTIVE*V$55</f>
        <v>0</v>
      </c>
      <c r="W112" s="17">
        <f>IFERROR(IF(W$58&gt;='CBA Inputs'!$H36,MAX('CBA Inputs'!$E36-'CBA Inputs'!$E36/'CBA Inputs'!$I36*(W$58-'CBA Inputs'!$H36+1),0),0)*IF(W$58=FirstYear+AnalysisPeriod-1,1,0),0)*CapitalCost_ACTIVE*W$55</f>
        <v>0</v>
      </c>
      <c r="X112" s="17">
        <f>IFERROR(IF(X$58&gt;='CBA Inputs'!$H36,MAX('CBA Inputs'!$E36-'CBA Inputs'!$E36/'CBA Inputs'!$I36*(X$58-'CBA Inputs'!$H36+1),0),0)*IF(X$58=FirstYear+AnalysisPeriod-1,1,0),0)*CapitalCost_ACTIVE*X$55</f>
        <v>0</v>
      </c>
      <c r="Y112" s="17">
        <f>IFERROR(IF(Y$58&gt;='CBA Inputs'!$H36,MAX('CBA Inputs'!$E36-'CBA Inputs'!$E36/'CBA Inputs'!$I36*(Y$58-'CBA Inputs'!$H36+1),0),0)*IF(Y$58=FirstYear+AnalysisPeriod-1,1,0),0)*CapitalCost_ACTIVE*Y$55</f>
        <v>0</v>
      </c>
      <c r="Z112" s="17">
        <f>IFERROR(IF(Z$58&gt;='CBA Inputs'!$H36,MAX('CBA Inputs'!$E36-'CBA Inputs'!$E36/'CBA Inputs'!$I36*(Z$58-'CBA Inputs'!$H36+1),0),0)*IF(Z$58=FirstYear+AnalysisPeriod-1,1,0),0)*CapitalCost_ACTIVE*Z$55</f>
        <v>0</v>
      </c>
      <c r="AA112" s="17">
        <f>IFERROR(IF(AA$58&gt;='CBA Inputs'!$H36,MAX('CBA Inputs'!$E36-'CBA Inputs'!$E36/'CBA Inputs'!$I36*(AA$58-'CBA Inputs'!$H36+1),0),0)*IF(AA$58=FirstYear+AnalysisPeriod-1,1,0),0)*CapitalCost_ACTIVE*AA$55</f>
        <v>0</v>
      </c>
      <c r="AB112" s="17">
        <f>IFERROR(IF(AB$58&gt;='CBA Inputs'!$H36,MAX('CBA Inputs'!$E36-'CBA Inputs'!$E36/'CBA Inputs'!$I36*(AB$58-'CBA Inputs'!$H36+1),0),0)*IF(AB$58=FirstYear+AnalysisPeriod-1,1,0),0)*CapitalCost_ACTIVE*AB$55</f>
        <v>0</v>
      </c>
      <c r="AC112" s="17">
        <f>IFERROR(IF(AC$58&gt;='CBA Inputs'!$H36,MAX('CBA Inputs'!$E36-'CBA Inputs'!$E36/'CBA Inputs'!$I36*(AC$58-'CBA Inputs'!$H36+1),0),0)*IF(AC$58=FirstYear+AnalysisPeriod-1,1,0),0)*CapitalCost_ACTIVE*AC$55</f>
        <v>0</v>
      </c>
      <c r="AD112" s="17">
        <f>IFERROR(IF(AD$58&gt;='CBA Inputs'!$H36,MAX('CBA Inputs'!$E36-'CBA Inputs'!$E36/'CBA Inputs'!$I36*(AD$58-'CBA Inputs'!$H36+1),0),0)*IF(AD$58=FirstYear+AnalysisPeriod-1,1,0),0)*CapitalCost_ACTIVE*AD$55</f>
        <v>0</v>
      </c>
      <c r="AE112" s="17">
        <f>IFERROR(IF(AE$58&gt;='CBA Inputs'!$H36,MAX('CBA Inputs'!$E36-'CBA Inputs'!$E36/'CBA Inputs'!$I36*(AE$58-'CBA Inputs'!$H36+1),0),0)*IF(AE$58=FirstYear+AnalysisPeriod-1,1,0),0)*CapitalCost_ACTIVE*AE$55</f>
        <v>0</v>
      </c>
      <c r="AF112" s="17">
        <f>IFERROR(IF(AF$58&gt;='CBA Inputs'!$H36,MAX('CBA Inputs'!$E36-'CBA Inputs'!$E36/'CBA Inputs'!$I36*(AF$58-'CBA Inputs'!$H36+1),0),0)*IF(AF$58=FirstYear+AnalysisPeriod-1,1,0),0)*CapitalCost_ACTIVE*AF$55</f>
        <v>632200000</v>
      </c>
      <c r="AG112" s="17">
        <f>IFERROR(IF(AG$58&gt;='CBA Inputs'!$H36,MAX('CBA Inputs'!$E36-'CBA Inputs'!$E36/'CBA Inputs'!$I36*(AG$58-'CBA Inputs'!$H36+1),0),0)*IF(AG$58=FirstYear+AnalysisPeriod-1,1,0),0)*CapitalCost_ACTIVE*AG$55</f>
        <v>0</v>
      </c>
      <c r="AH112" s="17">
        <f>IFERROR(IF(AH$58&gt;='CBA Inputs'!$H36,MAX('CBA Inputs'!$E36-'CBA Inputs'!$E36/'CBA Inputs'!$I36*(AH$58-'CBA Inputs'!$H36+1),0),0)*IF(AH$58=FirstYear+AnalysisPeriod-1,1,0),0)*CapitalCost_ACTIVE*AH$55</f>
        <v>0</v>
      </c>
      <c r="AI112" s="17">
        <f>IFERROR(IF(AI$58&gt;='CBA Inputs'!$H36,MAX('CBA Inputs'!$E36-'CBA Inputs'!$E36/'CBA Inputs'!$I36*(AI$58-'CBA Inputs'!$H36+1),0),0)*IF(AI$58=FirstYear+AnalysisPeriod-1,1,0),0)*CapitalCost_ACTIVE*AI$55</f>
        <v>0</v>
      </c>
      <c r="AJ112" s="17">
        <f>IFERROR(IF(AJ$58&gt;='CBA Inputs'!$H36,MAX('CBA Inputs'!$E36-'CBA Inputs'!$E36/'CBA Inputs'!$I36*(AJ$58-'CBA Inputs'!$H36+1),0),0)*IF(AJ$58=FirstYear+AnalysisPeriod-1,1,0),0)*CapitalCost_ACTIVE*AJ$55</f>
        <v>0</v>
      </c>
      <c r="AM112" s="9" t="str">
        <f t="shared" si="35"/>
        <v/>
      </c>
      <c r="AN112" s="26">
        <f t="shared" si="35"/>
        <v>0</v>
      </c>
      <c r="AO112" s="26">
        <f t="shared" si="35"/>
        <v>0</v>
      </c>
      <c r="AP112" s="12" t="s">
        <v>35</v>
      </c>
      <c r="AQ112" s="18">
        <f t="shared" si="36"/>
        <v>0</v>
      </c>
      <c r="AR112" s="17">
        <f>IFERROR(IF(G$58&gt;='CBA Inputs'!$R36,MAX('CBA Inputs'!$O36-'CBA Inputs'!$O36/'CBA Inputs'!$S36*(G$58-'CBA Inputs'!$R36+1),0),0)*IF(G$58=FirstYear+AnalysisPeriod-1,1,0),0)*CapitalCost_ACTIVE*G$55*IF(Scenario_Select='CBA Inputs'!$T36,1,0)</f>
        <v>0</v>
      </c>
      <c r="AS112" s="17">
        <f>IFERROR(IF(H$58&gt;='CBA Inputs'!$R36,MAX('CBA Inputs'!$O36-'CBA Inputs'!$O36/'CBA Inputs'!$S36*(H$58-'CBA Inputs'!$R36+1),0),0)*IF(H$58=FirstYear+AnalysisPeriod-1,1,0),0)*CapitalCost_ACTIVE*H$55*IF(Scenario_Select='CBA Inputs'!$T36,1,0)</f>
        <v>0</v>
      </c>
      <c r="AT112" s="17">
        <f>IFERROR(IF(I$58&gt;='CBA Inputs'!$R36,MAX('CBA Inputs'!$O36-'CBA Inputs'!$O36/'CBA Inputs'!$S36*(I$58-'CBA Inputs'!$R36+1),0),0)*IF(I$58=FirstYear+AnalysisPeriod-1,1,0),0)*CapitalCost_ACTIVE*I$55*IF(Scenario_Select='CBA Inputs'!$T36,1,0)</f>
        <v>0</v>
      </c>
      <c r="AU112" s="17">
        <f>IFERROR(IF(J$58&gt;='CBA Inputs'!$R36,MAX('CBA Inputs'!$O36-'CBA Inputs'!$O36/'CBA Inputs'!$S36*(J$58-'CBA Inputs'!$R36+1),0),0)*IF(J$58=FirstYear+AnalysisPeriod-1,1,0),0)*CapitalCost_ACTIVE*J$55*IF(Scenario_Select='CBA Inputs'!$T36,1,0)</f>
        <v>0</v>
      </c>
      <c r="AV112" s="17">
        <f>IFERROR(IF(K$58&gt;='CBA Inputs'!$R36,MAX('CBA Inputs'!$O36-'CBA Inputs'!$O36/'CBA Inputs'!$S36*(K$58-'CBA Inputs'!$R36+1),0),0)*IF(K$58=FirstYear+AnalysisPeriod-1,1,0),0)*CapitalCost_ACTIVE*K$55*IF(Scenario_Select='CBA Inputs'!$T36,1,0)</f>
        <v>0</v>
      </c>
      <c r="AW112" s="17">
        <f>IFERROR(IF(L$58&gt;='CBA Inputs'!$R36,MAX('CBA Inputs'!$O36-'CBA Inputs'!$O36/'CBA Inputs'!$S36*(L$58-'CBA Inputs'!$R36+1),0),0)*IF(L$58=FirstYear+AnalysisPeriod-1,1,0),0)*CapitalCost_ACTIVE*L$55*IF(Scenario_Select='CBA Inputs'!$T36,1,0)</f>
        <v>0</v>
      </c>
      <c r="AX112" s="17">
        <f>IFERROR(IF(M$58&gt;='CBA Inputs'!$R36,MAX('CBA Inputs'!$O36-'CBA Inputs'!$O36/'CBA Inputs'!$S36*(M$58-'CBA Inputs'!$R36+1),0),0)*IF(M$58=FirstYear+AnalysisPeriod-1,1,0),0)*CapitalCost_ACTIVE*M$55*IF(Scenario_Select='CBA Inputs'!$T36,1,0)</f>
        <v>0</v>
      </c>
      <c r="AY112" s="17">
        <f>IFERROR(IF(N$58&gt;='CBA Inputs'!$R36,MAX('CBA Inputs'!$O36-'CBA Inputs'!$O36/'CBA Inputs'!$S36*(N$58-'CBA Inputs'!$R36+1),0),0)*IF(N$58=FirstYear+AnalysisPeriod-1,1,0),0)*CapitalCost_ACTIVE*N$55*IF(Scenario_Select='CBA Inputs'!$T36,1,0)</f>
        <v>0</v>
      </c>
      <c r="AZ112" s="17">
        <f>IFERROR(IF(O$58&gt;='CBA Inputs'!$R36,MAX('CBA Inputs'!$O36-'CBA Inputs'!$O36/'CBA Inputs'!$S36*(O$58-'CBA Inputs'!$R36+1),0),0)*IF(O$58=FirstYear+AnalysisPeriod-1,1,0),0)*CapitalCost_ACTIVE*O$55*IF(Scenario_Select='CBA Inputs'!$T36,1,0)</f>
        <v>0</v>
      </c>
      <c r="BA112" s="17">
        <f>IFERROR(IF(P$58&gt;='CBA Inputs'!$R36,MAX('CBA Inputs'!$O36-'CBA Inputs'!$O36/'CBA Inputs'!$S36*(P$58-'CBA Inputs'!$R36+1),0),0)*IF(P$58=FirstYear+AnalysisPeriod-1,1,0),0)*CapitalCost_ACTIVE*P$55*IF(Scenario_Select='CBA Inputs'!$T36,1,0)</f>
        <v>0</v>
      </c>
      <c r="BB112" s="17">
        <f>IFERROR(IF(Q$58&gt;='CBA Inputs'!$R36,MAX('CBA Inputs'!$O36-'CBA Inputs'!$O36/'CBA Inputs'!$S36*(Q$58-'CBA Inputs'!$R36+1),0),0)*IF(Q$58=FirstYear+AnalysisPeriod-1,1,0),0)*CapitalCost_ACTIVE*Q$55*IF(Scenario_Select='CBA Inputs'!$T36,1,0)</f>
        <v>0</v>
      </c>
      <c r="BC112" s="17">
        <f>IFERROR(IF(R$58&gt;='CBA Inputs'!$R36,MAX('CBA Inputs'!$O36-'CBA Inputs'!$O36/'CBA Inputs'!$S36*(R$58-'CBA Inputs'!$R36+1),0),0)*IF(R$58=FirstYear+AnalysisPeriod-1,1,0),0)*CapitalCost_ACTIVE*R$55*IF(Scenario_Select='CBA Inputs'!$T36,1,0)</f>
        <v>0</v>
      </c>
      <c r="BD112" s="17">
        <f>IFERROR(IF(S$58&gt;='CBA Inputs'!$R36,MAX('CBA Inputs'!$O36-'CBA Inputs'!$O36/'CBA Inputs'!$S36*(S$58-'CBA Inputs'!$R36+1),0),0)*IF(S$58=FirstYear+AnalysisPeriod-1,1,0),0)*CapitalCost_ACTIVE*S$55*IF(Scenario_Select='CBA Inputs'!$T36,1,0)</f>
        <v>0</v>
      </c>
      <c r="BE112" s="17">
        <f>IFERROR(IF(T$58&gt;='CBA Inputs'!$R36,MAX('CBA Inputs'!$O36-'CBA Inputs'!$O36/'CBA Inputs'!$S36*(T$58-'CBA Inputs'!$R36+1),0),0)*IF(T$58=FirstYear+AnalysisPeriod-1,1,0),0)*CapitalCost_ACTIVE*T$55*IF(Scenario_Select='CBA Inputs'!$T36,1,0)</f>
        <v>0</v>
      </c>
      <c r="BF112" s="17">
        <f>IFERROR(IF(U$58&gt;='CBA Inputs'!$R36,MAX('CBA Inputs'!$O36-'CBA Inputs'!$O36/'CBA Inputs'!$S36*(U$58-'CBA Inputs'!$R36+1),0),0)*IF(U$58=FirstYear+AnalysisPeriod-1,1,0),0)*CapitalCost_ACTIVE*U$55*IF(Scenario_Select='CBA Inputs'!$T36,1,0)</f>
        <v>0</v>
      </c>
      <c r="BG112" s="17">
        <f>IFERROR(IF(V$58&gt;='CBA Inputs'!$R36,MAX('CBA Inputs'!$O36-'CBA Inputs'!$O36/'CBA Inputs'!$S36*(V$58-'CBA Inputs'!$R36+1),0),0)*IF(V$58=FirstYear+AnalysisPeriod-1,1,0),0)*CapitalCost_ACTIVE*V$55*IF(Scenario_Select='CBA Inputs'!$T36,1,0)</f>
        <v>0</v>
      </c>
      <c r="BH112" s="17">
        <f>IFERROR(IF(W$58&gt;='CBA Inputs'!$R36,MAX('CBA Inputs'!$O36-'CBA Inputs'!$O36/'CBA Inputs'!$S36*(W$58-'CBA Inputs'!$R36+1),0),0)*IF(W$58=FirstYear+AnalysisPeriod-1,1,0),0)*CapitalCost_ACTIVE*W$55*IF(Scenario_Select='CBA Inputs'!$T36,1,0)</f>
        <v>0</v>
      </c>
      <c r="BI112" s="17">
        <f>IFERROR(IF(X$58&gt;='CBA Inputs'!$R36,MAX('CBA Inputs'!$O36-'CBA Inputs'!$O36/'CBA Inputs'!$S36*(X$58-'CBA Inputs'!$R36+1),0),0)*IF(X$58=FirstYear+AnalysisPeriod-1,1,0),0)*CapitalCost_ACTIVE*X$55*IF(Scenario_Select='CBA Inputs'!$T36,1,0)</f>
        <v>0</v>
      </c>
      <c r="BJ112" s="17">
        <f>IFERROR(IF(Y$58&gt;='CBA Inputs'!$R36,MAX('CBA Inputs'!$O36-'CBA Inputs'!$O36/'CBA Inputs'!$S36*(Y$58-'CBA Inputs'!$R36+1),0),0)*IF(Y$58=FirstYear+AnalysisPeriod-1,1,0),0)*CapitalCost_ACTIVE*Y$55*IF(Scenario_Select='CBA Inputs'!$T36,1,0)</f>
        <v>0</v>
      </c>
      <c r="BK112" s="17">
        <f>IFERROR(IF(Z$58&gt;='CBA Inputs'!$R36,MAX('CBA Inputs'!$O36-'CBA Inputs'!$O36/'CBA Inputs'!$S36*(Z$58-'CBA Inputs'!$R36+1),0),0)*IF(Z$58=FirstYear+AnalysisPeriod-1,1,0),0)*CapitalCost_ACTIVE*Z$55*IF(Scenario_Select='CBA Inputs'!$T36,1,0)</f>
        <v>0</v>
      </c>
      <c r="BL112" s="17">
        <f>IFERROR(IF(AA$58&gt;='CBA Inputs'!$R36,MAX('CBA Inputs'!$O36-'CBA Inputs'!$O36/'CBA Inputs'!$S36*(AA$58-'CBA Inputs'!$R36+1),0),0)*IF(AA$58=FirstYear+AnalysisPeriod-1,1,0),0)*CapitalCost_ACTIVE*AA$55*IF(Scenario_Select='CBA Inputs'!$T36,1,0)</f>
        <v>0</v>
      </c>
      <c r="BM112" s="17">
        <f>IFERROR(IF(AB$58&gt;='CBA Inputs'!$R36,MAX('CBA Inputs'!$O36-'CBA Inputs'!$O36/'CBA Inputs'!$S36*(AB$58-'CBA Inputs'!$R36+1),0),0)*IF(AB$58=FirstYear+AnalysisPeriod-1,1,0),0)*CapitalCost_ACTIVE*AB$55*IF(Scenario_Select='CBA Inputs'!$T36,1,0)</f>
        <v>0</v>
      </c>
      <c r="BN112" s="17">
        <f>IFERROR(IF(AC$58&gt;='CBA Inputs'!$R36,MAX('CBA Inputs'!$O36-'CBA Inputs'!$O36/'CBA Inputs'!$S36*(AC$58-'CBA Inputs'!$R36+1),0),0)*IF(AC$58=FirstYear+AnalysisPeriod-1,1,0),0)*CapitalCost_ACTIVE*AC$55*IF(Scenario_Select='CBA Inputs'!$T36,1,0)</f>
        <v>0</v>
      </c>
      <c r="BO112" s="17">
        <f>IFERROR(IF(AD$58&gt;='CBA Inputs'!$R36,MAX('CBA Inputs'!$O36-'CBA Inputs'!$O36/'CBA Inputs'!$S36*(AD$58-'CBA Inputs'!$R36+1),0),0)*IF(AD$58=FirstYear+AnalysisPeriod-1,1,0),0)*CapitalCost_ACTIVE*AD$55*IF(Scenario_Select='CBA Inputs'!$T36,1,0)</f>
        <v>0</v>
      </c>
      <c r="BP112" s="17">
        <f>IFERROR(IF(AE$58&gt;='CBA Inputs'!$R36,MAX('CBA Inputs'!$O36-'CBA Inputs'!$O36/'CBA Inputs'!$S36*(AE$58-'CBA Inputs'!$R36+1),0),0)*IF(AE$58=FirstYear+AnalysisPeriod-1,1,0),0)*CapitalCost_ACTIVE*AE$55*IF(Scenario_Select='CBA Inputs'!$T36,1,0)</f>
        <v>0</v>
      </c>
      <c r="BQ112" s="17">
        <f>IFERROR(IF(AF$58&gt;='CBA Inputs'!$R36,MAX('CBA Inputs'!$O36-'CBA Inputs'!$O36/'CBA Inputs'!$S36*(AF$58-'CBA Inputs'!$R36+1),0),0)*IF(AF$58=FirstYear+AnalysisPeriod-1,1,0),0)*CapitalCost_ACTIVE*AF$55*IF(Scenario_Select='CBA Inputs'!$T36,1,0)</f>
        <v>0</v>
      </c>
      <c r="BR112" s="17">
        <f>IFERROR(IF(AG$58&gt;='CBA Inputs'!$R36,MAX('CBA Inputs'!$O36-'CBA Inputs'!$O36/'CBA Inputs'!$S36*(AG$58-'CBA Inputs'!$R36+1),0),0)*IF(AG$58=FirstYear+AnalysisPeriod-1,1,0),0)*CapitalCost_ACTIVE*AG$55*IF(Scenario_Select='CBA Inputs'!$T36,1,0)</f>
        <v>0</v>
      </c>
      <c r="BS112" s="17">
        <f>IFERROR(IF(AH$58&gt;='CBA Inputs'!$R36,MAX('CBA Inputs'!$O36-'CBA Inputs'!$O36/'CBA Inputs'!$S36*(AH$58-'CBA Inputs'!$R36+1),0),0)*IF(AH$58=FirstYear+AnalysisPeriod-1,1,0),0)*CapitalCost_ACTIVE*AH$55*IF(Scenario_Select='CBA Inputs'!$T36,1,0)</f>
        <v>0</v>
      </c>
      <c r="BT112" s="17">
        <f>IFERROR(IF(AI$58&gt;='CBA Inputs'!$R36,MAX('CBA Inputs'!$O36-'CBA Inputs'!$O36/'CBA Inputs'!$S36*(AI$58-'CBA Inputs'!$R36+1),0),0)*IF(AI$58=FirstYear+AnalysisPeriod-1,1,0),0)*CapitalCost_ACTIVE*AI$55*IF(Scenario_Select='CBA Inputs'!$T36,1,0)</f>
        <v>0</v>
      </c>
      <c r="BU112" s="17">
        <f>IFERROR(IF(AJ$58&gt;='CBA Inputs'!$R36,MAX('CBA Inputs'!$O36-'CBA Inputs'!$O36/'CBA Inputs'!$S36*(AJ$58-'CBA Inputs'!$R36+1),0),0)*IF(AJ$58=FirstYear+AnalysisPeriod-1,1,0),0)*CapitalCost_ACTIVE*AJ$55*IF(Scenario_Select='CBA Inputs'!$T36,1,0)</f>
        <v>0</v>
      </c>
    </row>
    <row r="113" spans="2:73" x14ac:dyDescent="0.35">
      <c r="B113" s="9">
        <f t="shared" si="30"/>
        <v>9</v>
      </c>
      <c r="C113" s="26" t="str">
        <f t="shared" si="30"/>
        <v>Option 3C</v>
      </c>
      <c r="D113" s="26" t="str">
        <f t="shared" si="33"/>
        <v>Substation</v>
      </c>
      <c r="E113" s="12" t="s">
        <v>35</v>
      </c>
      <c r="F113" s="18">
        <f t="shared" si="34"/>
        <v>30028973.098517753</v>
      </c>
      <c r="G113" s="17">
        <f>IFERROR(IF(G$58&gt;='CBA Inputs'!$H37,MAX('CBA Inputs'!$E37-'CBA Inputs'!$E37/'CBA Inputs'!$I37*(G$58-'CBA Inputs'!$H37+1),0),0)*IF(G$58=FirstYear+AnalysisPeriod-1,1,0),0)*CapitalCost_ACTIVE*G$55</f>
        <v>0</v>
      </c>
      <c r="H113" s="17">
        <f>IFERROR(IF(H$58&gt;='CBA Inputs'!$H37,MAX('CBA Inputs'!$E37-'CBA Inputs'!$E37/'CBA Inputs'!$I37*(H$58-'CBA Inputs'!$H37+1),0),0)*IF(H$58=FirstYear+AnalysisPeriod-1,1,0),0)*CapitalCost_ACTIVE*H$55</f>
        <v>0</v>
      </c>
      <c r="I113" s="17">
        <f>IFERROR(IF(I$58&gt;='CBA Inputs'!$H37,MAX('CBA Inputs'!$E37-'CBA Inputs'!$E37/'CBA Inputs'!$I37*(I$58-'CBA Inputs'!$H37+1),0),0)*IF(I$58=FirstYear+AnalysisPeriod-1,1,0),0)*CapitalCost_ACTIVE*I$55</f>
        <v>0</v>
      </c>
      <c r="J113" s="17">
        <f>IFERROR(IF(J$58&gt;='CBA Inputs'!$H37,MAX('CBA Inputs'!$E37-'CBA Inputs'!$E37/'CBA Inputs'!$I37*(J$58-'CBA Inputs'!$H37+1),0),0)*IF(J$58=FirstYear+AnalysisPeriod-1,1,0),0)*CapitalCost_ACTIVE*J$55</f>
        <v>0</v>
      </c>
      <c r="K113" s="17">
        <f>IFERROR(IF(K$58&gt;='CBA Inputs'!$H37,MAX('CBA Inputs'!$E37-'CBA Inputs'!$E37/'CBA Inputs'!$I37*(K$58-'CBA Inputs'!$H37+1),0),0)*IF(K$58=FirstYear+AnalysisPeriod-1,1,0),0)*CapitalCost_ACTIVE*K$55</f>
        <v>0</v>
      </c>
      <c r="L113" s="17">
        <f>IFERROR(IF(L$58&gt;='CBA Inputs'!$H37,MAX('CBA Inputs'!$E37-'CBA Inputs'!$E37/'CBA Inputs'!$I37*(L$58-'CBA Inputs'!$H37+1),0),0)*IF(L$58=FirstYear+AnalysisPeriod-1,1,0),0)*CapitalCost_ACTIVE*L$55</f>
        <v>0</v>
      </c>
      <c r="M113" s="17">
        <f>IFERROR(IF(M$58&gt;='CBA Inputs'!$H37,MAX('CBA Inputs'!$E37-'CBA Inputs'!$E37/'CBA Inputs'!$I37*(M$58-'CBA Inputs'!$H37+1),0),0)*IF(M$58=FirstYear+AnalysisPeriod-1,1,0),0)*CapitalCost_ACTIVE*M$55</f>
        <v>0</v>
      </c>
      <c r="N113" s="17">
        <f>IFERROR(IF(N$58&gt;='CBA Inputs'!$H37,MAX('CBA Inputs'!$E37-'CBA Inputs'!$E37/'CBA Inputs'!$I37*(N$58-'CBA Inputs'!$H37+1),0),0)*IF(N$58=FirstYear+AnalysisPeriod-1,1,0),0)*CapitalCost_ACTIVE*N$55</f>
        <v>0</v>
      </c>
      <c r="O113" s="17">
        <f>IFERROR(IF(O$58&gt;='CBA Inputs'!$H37,MAX('CBA Inputs'!$E37-'CBA Inputs'!$E37/'CBA Inputs'!$I37*(O$58-'CBA Inputs'!$H37+1),0),0)*IF(O$58=FirstYear+AnalysisPeriod-1,1,0),0)*CapitalCost_ACTIVE*O$55</f>
        <v>0</v>
      </c>
      <c r="P113" s="17">
        <f>IFERROR(IF(P$58&gt;='CBA Inputs'!$H37,MAX('CBA Inputs'!$E37-'CBA Inputs'!$E37/'CBA Inputs'!$I37*(P$58-'CBA Inputs'!$H37+1),0),0)*IF(P$58=FirstYear+AnalysisPeriod-1,1,0),0)*CapitalCost_ACTIVE*P$55</f>
        <v>0</v>
      </c>
      <c r="Q113" s="17">
        <f>IFERROR(IF(Q$58&gt;='CBA Inputs'!$H37,MAX('CBA Inputs'!$E37-'CBA Inputs'!$E37/'CBA Inputs'!$I37*(Q$58-'CBA Inputs'!$H37+1),0),0)*IF(Q$58=FirstYear+AnalysisPeriod-1,1,0),0)*CapitalCost_ACTIVE*Q$55</f>
        <v>0</v>
      </c>
      <c r="R113" s="17">
        <f>IFERROR(IF(R$58&gt;='CBA Inputs'!$H37,MAX('CBA Inputs'!$E37-'CBA Inputs'!$E37/'CBA Inputs'!$I37*(R$58-'CBA Inputs'!$H37+1),0),0)*IF(R$58=FirstYear+AnalysisPeriod-1,1,0),0)*CapitalCost_ACTIVE*R$55</f>
        <v>0</v>
      </c>
      <c r="S113" s="17">
        <f>IFERROR(IF(S$58&gt;='CBA Inputs'!$H37,MAX('CBA Inputs'!$E37-'CBA Inputs'!$E37/'CBA Inputs'!$I37*(S$58-'CBA Inputs'!$H37+1),0),0)*IF(S$58=FirstYear+AnalysisPeriod-1,1,0),0)*CapitalCost_ACTIVE*S$55</f>
        <v>0</v>
      </c>
      <c r="T113" s="17">
        <f>IFERROR(IF(T$58&gt;='CBA Inputs'!$H37,MAX('CBA Inputs'!$E37-'CBA Inputs'!$E37/'CBA Inputs'!$I37*(T$58-'CBA Inputs'!$H37+1),0),0)*IF(T$58=FirstYear+AnalysisPeriod-1,1,0),0)*CapitalCost_ACTIVE*T$55</f>
        <v>0</v>
      </c>
      <c r="U113" s="17">
        <f>IFERROR(IF(U$58&gt;='CBA Inputs'!$H37,MAX('CBA Inputs'!$E37-'CBA Inputs'!$E37/'CBA Inputs'!$I37*(U$58-'CBA Inputs'!$H37+1),0),0)*IF(U$58=FirstYear+AnalysisPeriod-1,1,0),0)*CapitalCost_ACTIVE*U$55</f>
        <v>0</v>
      </c>
      <c r="V113" s="17">
        <f>IFERROR(IF(V$58&gt;='CBA Inputs'!$H37,MAX('CBA Inputs'!$E37-'CBA Inputs'!$E37/'CBA Inputs'!$I37*(V$58-'CBA Inputs'!$H37+1),0),0)*IF(V$58=FirstYear+AnalysisPeriod-1,1,0),0)*CapitalCost_ACTIVE*V$55</f>
        <v>0</v>
      </c>
      <c r="W113" s="17">
        <f>IFERROR(IF(W$58&gt;='CBA Inputs'!$H37,MAX('CBA Inputs'!$E37-'CBA Inputs'!$E37/'CBA Inputs'!$I37*(W$58-'CBA Inputs'!$H37+1),0),0)*IF(W$58=FirstYear+AnalysisPeriod-1,1,0),0)*CapitalCost_ACTIVE*W$55</f>
        <v>0</v>
      </c>
      <c r="X113" s="17">
        <f>IFERROR(IF(X$58&gt;='CBA Inputs'!$H37,MAX('CBA Inputs'!$E37-'CBA Inputs'!$E37/'CBA Inputs'!$I37*(X$58-'CBA Inputs'!$H37+1),0),0)*IF(X$58=FirstYear+AnalysisPeriod-1,1,0),0)*CapitalCost_ACTIVE*X$55</f>
        <v>0</v>
      </c>
      <c r="Y113" s="17">
        <f>IFERROR(IF(Y$58&gt;='CBA Inputs'!$H37,MAX('CBA Inputs'!$E37-'CBA Inputs'!$E37/'CBA Inputs'!$I37*(Y$58-'CBA Inputs'!$H37+1),0),0)*IF(Y$58=FirstYear+AnalysisPeriod-1,1,0),0)*CapitalCost_ACTIVE*Y$55</f>
        <v>0</v>
      </c>
      <c r="Z113" s="17">
        <f>IFERROR(IF(Z$58&gt;='CBA Inputs'!$H37,MAX('CBA Inputs'!$E37-'CBA Inputs'!$E37/'CBA Inputs'!$I37*(Z$58-'CBA Inputs'!$H37+1),0),0)*IF(Z$58=FirstYear+AnalysisPeriod-1,1,0),0)*CapitalCost_ACTIVE*Z$55</f>
        <v>0</v>
      </c>
      <c r="AA113" s="17">
        <f>IFERROR(IF(AA$58&gt;='CBA Inputs'!$H37,MAX('CBA Inputs'!$E37-'CBA Inputs'!$E37/'CBA Inputs'!$I37*(AA$58-'CBA Inputs'!$H37+1),0),0)*IF(AA$58=FirstYear+AnalysisPeriod-1,1,0),0)*CapitalCost_ACTIVE*AA$55</f>
        <v>0</v>
      </c>
      <c r="AB113" s="17">
        <f>IFERROR(IF(AB$58&gt;='CBA Inputs'!$H37,MAX('CBA Inputs'!$E37-'CBA Inputs'!$E37/'CBA Inputs'!$I37*(AB$58-'CBA Inputs'!$H37+1),0),0)*IF(AB$58=FirstYear+AnalysisPeriod-1,1,0),0)*CapitalCost_ACTIVE*AB$55</f>
        <v>0</v>
      </c>
      <c r="AC113" s="17">
        <f>IFERROR(IF(AC$58&gt;='CBA Inputs'!$H37,MAX('CBA Inputs'!$E37-'CBA Inputs'!$E37/'CBA Inputs'!$I37*(AC$58-'CBA Inputs'!$H37+1),0),0)*IF(AC$58=FirstYear+AnalysisPeriod-1,1,0),0)*CapitalCost_ACTIVE*AC$55</f>
        <v>0</v>
      </c>
      <c r="AD113" s="17">
        <f>IFERROR(IF(AD$58&gt;='CBA Inputs'!$H37,MAX('CBA Inputs'!$E37-'CBA Inputs'!$E37/'CBA Inputs'!$I37*(AD$58-'CBA Inputs'!$H37+1),0),0)*IF(AD$58=FirstYear+AnalysisPeriod-1,1,0),0)*CapitalCost_ACTIVE*AD$55</f>
        <v>0</v>
      </c>
      <c r="AE113" s="17">
        <f>IFERROR(IF(AE$58&gt;='CBA Inputs'!$H37,MAX('CBA Inputs'!$E37-'CBA Inputs'!$E37/'CBA Inputs'!$I37*(AE$58-'CBA Inputs'!$H37+1),0),0)*IF(AE$58=FirstYear+AnalysisPeriod-1,1,0),0)*CapitalCost_ACTIVE*AE$55</f>
        <v>0</v>
      </c>
      <c r="AF113" s="17">
        <f>IFERROR(IF(AF$58&gt;='CBA Inputs'!$H37,MAX('CBA Inputs'!$E37-'CBA Inputs'!$E37/'CBA Inputs'!$I37*(AF$58-'CBA Inputs'!$H37+1),0),0)*IF(AF$58=FirstYear+AnalysisPeriod-1,1,0),0)*CapitalCost_ACTIVE*AF$55</f>
        <v>125875000</v>
      </c>
      <c r="AG113" s="17">
        <f>IFERROR(IF(AG$58&gt;='CBA Inputs'!$H37,MAX('CBA Inputs'!$E37-'CBA Inputs'!$E37/'CBA Inputs'!$I37*(AG$58-'CBA Inputs'!$H37+1),0),0)*IF(AG$58=FirstYear+AnalysisPeriod-1,1,0),0)*CapitalCost_ACTIVE*AG$55</f>
        <v>0</v>
      </c>
      <c r="AH113" s="17">
        <f>IFERROR(IF(AH$58&gt;='CBA Inputs'!$H37,MAX('CBA Inputs'!$E37-'CBA Inputs'!$E37/'CBA Inputs'!$I37*(AH$58-'CBA Inputs'!$H37+1),0),0)*IF(AH$58=FirstYear+AnalysisPeriod-1,1,0),0)*CapitalCost_ACTIVE*AH$55</f>
        <v>0</v>
      </c>
      <c r="AI113" s="17">
        <f>IFERROR(IF(AI$58&gt;='CBA Inputs'!$H37,MAX('CBA Inputs'!$E37-'CBA Inputs'!$E37/'CBA Inputs'!$I37*(AI$58-'CBA Inputs'!$H37+1),0),0)*IF(AI$58=FirstYear+AnalysisPeriod-1,1,0),0)*CapitalCost_ACTIVE*AI$55</f>
        <v>0</v>
      </c>
      <c r="AJ113" s="17">
        <f>IFERROR(IF(AJ$58&gt;='CBA Inputs'!$H37,MAX('CBA Inputs'!$E37-'CBA Inputs'!$E37/'CBA Inputs'!$I37*(AJ$58-'CBA Inputs'!$H37+1),0),0)*IF(AJ$58=FirstYear+AnalysisPeriod-1,1,0),0)*CapitalCost_ACTIVE*AJ$55</f>
        <v>0</v>
      </c>
      <c r="AM113" s="9" t="str">
        <f t="shared" si="35"/>
        <v/>
      </c>
      <c r="AN113" s="26">
        <f t="shared" si="35"/>
        <v>0</v>
      </c>
      <c r="AO113" s="26">
        <f t="shared" si="35"/>
        <v>0</v>
      </c>
      <c r="AP113" s="12" t="s">
        <v>35</v>
      </c>
      <c r="AQ113" s="18">
        <f t="shared" si="36"/>
        <v>0</v>
      </c>
      <c r="AR113" s="17">
        <f>IFERROR(IF(G$58&gt;='CBA Inputs'!$R37,MAX('CBA Inputs'!$O37-'CBA Inputs'!$O37/'CBA Inputs'!$S37*(G$58-'CBA Inputs'!$R37+1),0),0)*IF(G$58=FirstYear+AnalysisPeriod-1,1,0),0)*CapitalCost_ACTIVE*G$55*IF(Scenario_Select='CBA Inputs'!$T37,1,0)</f>
        <v>0</v>
      </c>
      <c r="AS113" s="17">
        <f>IFERROR(IF(H$58&gt;='CBA Inputs'!$R37,MAX('CBA Inputs'!$O37-'CBA Inputs'!$O37/'CBA Inputs'!$S37*(H$58-'CBA Inputs'!$R37+1),0),0)*IF(H$58=FirstYear+AnalysisPeriod-1,1,0),0)*CapitalCost_ACTIVE*H$55*IF(Scenario_Select='CBA Inputs'!$T37,1,0)</f>
        <v>0</v>
      </c>
      <c r="AT113" s="17">
        <f>IFERROR(IF(I$58&gt;='CBA Inputs'!$R37,MAX('CBA Inputs'!$O37-'CBA Inputs'!$O37/'CBA Inputs'!$S37*(I$58-'CBA Inputs'!$R37+1),0),0)*IF(I$58=FirstYear+AnalysisPeriod-1,1,0),0)*CapitalCost_ACTIVE*I$55*IF(Scenario_Select='CBA Inputs'!$T37,1,0)</f>
        <v>0</v>
      </c>
      <c r="AU113" s="17">
        <f>IFERROR(IF(J$58&gt;='CBA Inputs'!$R37,MAX('CBA Inputs'!$O37-'CBA Inputs'!$O37/'CBA Inputs'!$S37*(J$58-'CBA Inputs'!$R37+1),0),0)*IF(J$58=FirstYear+AnalysisPeriod-1,1,0),0)*CapitalCost_ACTIVE*J$55*IF(Scenario_Select='CBA Inputs'!$T37,1,0)</f>
        <v>0</v>
      </c>
      <c r="AV113" s="17">
        <f>IFERROR(IF(K$58&gt;='CBA Inputs'!$R37,MAX('CBA Inputs'!$O37-'CBA Inputs'!$O37/'CBA Inputs'!$S37*(K$58-'CBA Inputs'!$R37+1),0),0)*IF(K$58=FirstYear+AnalysisPeriod-1,1,0),0)*CapitalCost_ACTIVE*K$55*IF(Scenario_Select='CBA Inputs'!$T37,1,0)</f>
        <v>0</v>
      </c>
      <c r="AW113" s="17">
        <f>IFERROR(IF(L$58&gt;='CBA Inputs'!$R37,MAX('CBA Inputs'!$O37-'CBA Inputs'!$O37/'CBA Inputs'!$S37*(L$58-'CBA Inputs'!$R37+1),0),0)*IF(L$58=FirstYear+AnalysisPeriod-1,1,0),0)*CapitalCost_ACTIVE*L$55*IF(Scenario_Select='CBA Inputs'!$T37,1,0)</f>
        <v>0</v>
      </c>
      <c r="AX113" s="17">
        <f>IFERROR(IF(M$58&gt;='CBA Inputs'!$R37,MAX('CBA Inputs'!$O37-'CBA Inputs'!$O37/'CBA Inputs'!$S37*(M$58-'CBA Inputs'!$R37+1),0),0)*IF(M$58=FirstYear+AnalysisPeriod-1,1,0),0)*CapitalCost_ACTIVE*M$55*IF(Scenario_Select='CBA Inputs'!$T37,1,0)</f>
        <v>0</v>
      </c>
      <c r="AY113" s="17">
        <f>IFERROR(IF(N$58&gt;='CBA Inputs'!$R37,MAX('CBA Inputs'!$O37-'CBA Inputs'!$O37/'CBA Inputs'!$S37*(N$58-'CBA Inputs'!$R37+1),0),0)*IF(N$58=FirstYear+AnalysisPeriod-1,1,0),0)*CapitalCost_ACTIVE*N$55*IF(Scenario_Select='CBA Inputs'!$T37,1,0)</f>
        <v>0</v>
      </c>
      <c r="AZ113" s="17">
        <f>IFERROR(IF(O$58&gt;='CBA Inputs'!$R37,MAX('CBA Inputs'!$O37-'CBA Inputs'!$O37/'CBA Inputs'!$S37*(O$58-'CBA Inputs'!$R37+1),0),0)*IF(O$58=FirstYear+AnalysisPeriod-1,1,0),0)*CapitalCost_ACTIVE*O$55*IF(Scenario_Select='CBA Inputs'!$T37,1,0)</f>
        <v>0</v>
      </c>
      <c r="BA113" s="17">
        <f>IFERROR(IF(P$58&gt;='CBA Inputs'!$R37,MAX('CBA Inputs'!$O37-'CBA Inputs'!$O37/'CBA Inputs'!$S37*(P$58-'CBA Inputs'!$R37+1),0),0)*IF(P$58=FirstYear+AnalysisPeriod-1,1,0),0)*CapitalCost_ACTIVE*P$55*IF(Scenario_Select='CBA Inputs'!$T37,1,0)</f>
        <v>0</v>
      </c>
      <c r="BB113" s="17">
        <f>IFERROR(IF(Q$58&gt;='CBA Inputs'!$R37,MAX('CBA Inputs'!$O37-'CBA Inputs'!$O37/'CBA Inputs'!$S37*(Q$58-'CBA Inputs'!$R37+1),0),0)*IF(Q$58=FirstYear+AnalysisPeriod-1,1,0),0)*CapitalCost_ACTIVE*Q$55*IF(Scenario_Select='CBA Inputs'!$T37,1,0)</f>
        <v>0</v>
      </c>
      <c r="BC113" s="17">
        <f>IFERROR(IF(R$58&gt;='CBA Inputs'!$R37,MAX('CBA Inputs'!$O37-'CBA Inputs'!$O37/'CBA Inputs'!$S37*(R$58-'CBA Inputs'!$R37+1),0),0)*IF(R$58=FirstYear+AnalysisPeriod-1,1,0),0)*CapitalCost_ACTIVE*R$55*IF(Scenario_Select='CBA Inputs'!$T37,1,0)</f>
        <v>0</v>
      </c>
      <c r="BD113" s="17">
        <f>IFERROR(IF(S$58&gt;='CBA Inputs'!$R37,MAX('CBA Inputs'!$O37-'CBA Inputs'!$O37/'CBA Inputs'!$S37*(S$58-'CBA Inputs'!$R37+1),0),0)*IF(S$58=FirstYear+AnalysisPeriod-1,1,0),0)*CapitalCost_ACTIVE*S$55*IF(Scenario_Select='CBA Inputs'!$T37,1,0)</f>
        <v>0</v>
      </c>
      <c r="BE113" s="17">
        <f>IFERROR(IF(T$58&gt;='CBA Inputs'!$R37,MAX('CBA Inputs'!$O37-'CBA Inputs'!$O37/'CBA Inputs'!$S37*(T$58-'CBA Inputs'!$R37+1),0),0)*IF(T$58=FirstYear+AnalysisPeriod-1,1,0),0)*CapitalCost_ACTIVE*T$55*IF(Scenario_Select='CBA Inputs'!$T37,1,0)</f>
        <v>0</v>
      </c>
      <c r="BF113" s="17">
        <f>IFERROR(IF(U$58&gt;='CBA Inputs'!$R37,MAX('CBA Inputs'!$O37-'CBA Inputs'!$O37/'CBA Inputs'!$S37*(U$58-'CBA Inputs'!$R37+1),0),0)*IF(U$58=FirstYear+AnalysisPeriod-1,1,0),0)*CapitalCost_ACTIVE*U$55*IF(Scenario_Select='CBA Inputs'!$T37,1,0)</f>
        <v>0</v>
      </c>
      <c r="BG113" s="17">
        <f>IFERROR(IF(V$58&gt;='CBA Inputs'!$R37,MAX('CBA Inputs'!$O37-'CBA Inputs'!$O37/'CBA Inputs'!$S37*(V$58-'CBA Inputs'!$R37+1),0),0)*IF(V$58=FirstYear+AnalysisPeriod-1,1,0),0)*CapitalCost_ACTIVE*V$55*IF(Scenario_Select='CBA Inputs'!$T37,1,0)</f>
        <v>0</v>
      </c>
      <c r="BH113" s="17">
        <f>IFERROR(IF(W$58&gt;='CBA Inputs'!$R37,MAX('CBA Inputs'!$O37-'CBA Inputs'!$O37/'CBA Inputs'!$S37*(W$58-'CBA Inputs'!$R37+1),0),0)*IF(W$58=FirstYear+AnalysisPeriod-1,1,0),0)*CapitalCost_ACTIVE*W$55*IF(Scenario_Select='CBA Inputs'!$T37,1,0)</f>
        <v>0</v>
      </c>
      <c r="BI113" s="17">
        <f>IFERROR(IF(X$58&gt;='CBA Inputs'!$R37,MAX('CBA Inputs'!$O37-'CBA Inputs'!$O37/'CBA Inputs'!$S37*(X$58-'CBA Inputs'!$R37+1),0),0)*IF(X$58=FirstYear+AnalysisPeriod-1,1,0),0)*CapitalCost_ACTIVE*X$55*IF(Scenario_Select='CBA Inputs'!$T37,1,0)</f>
        <v>0</v>
      </c>
      <c r="BJ113" s="17">
        <f>IFERROR(IF(Y$58&gt;='CBA Inputs'!$R37,MAX('CBA Inputs'!$O37-'CBA Inputs'!$O37/'CBA Inputs'!$S37*(Y$58-'CBA Inputs'!$R37+1),0),0)*IF(Y$58=FirstYear+AnalysisPeriod-1,1,0),0)*CapitalCost_ACTIVE*Y$55*IF(Scenario_Select='CBA Inputs'!$T37,1,0)</f>
        <v>0</v>
      </c>
      <c r="BK113" s="17">
        <f>IFERROR(IF(Z$58&gt;='CBA Inputs'!$R37,MAX('CBA Inputs'!$O37-'CBA Inputs'!$O37/'CBA Inputs'!$S37*(Z$58-'CBA Inputs'!$R37+1),0),0)*IF(Z$58=FirstYear+AnalysisPeriod-1,1,0),0)*CapitalCost_ACTIVE*Z$55*IF(Scenario_Select='CBA Inputs'!$T37,1,0)</f>
        <v>0</v>
      </c>
      <c r="BL113" s="17">
        <f>IFERROR(IF(AA$58&gt;='CBA Inputs'!$R37,MAX('CBA Inputs'!$O37-'CBA Inputs'!$O37/'CBA Inputs'!$S37*(AA$58-'CBA Inputs'!$R37+1),0),0)*IF(AA$58=FirstYear+AnalysisPeriod-1,1,0),0)*CapitalCost_ACTIVE*AA$55*IF(Scenario_Select='CBA Inputs'!$T37,1,0)</f>
        <v>0</v>
      </c>
      <c r="BM113" s="17">
        <f>IFERROR(IF(AB$58&gt;='CBA Inputs'!$R37,MAX('CBA Inputs'!$O37-'CBA Inputs'!$O37/'CBA Inputs'!$S37*(AB$58-'CBA Inputs'!$R37+1),0),0)*IF(AB$58=FirstYear+AnalysisPeriod-1,1,0),0)*CapitalCost_ACTIVE*AB$55*IF(Scenario_Select='CBA Inputs'!$T37,1,0)</f>
        <v>0</v>
      </c>
      <c r="BN113" s="17">
        <f>IFERROR(IF(AC$58&gt;='CBA Inputs'!$R37,MAX('CBA Inputs'!$O37-'CBA Inputs'!$O37/'CBA Inputs'!$S37*(AC$58-'CBA Inputs'!$R37+1),0),0)*IF(AC$58=FirstYear+AnalysisPeriod-1,1,0),0)*CapitalCost_ACTIVE*AC$55*IF(Scenario_Select='CBA Inputs'!$T37,1,0)</f>
        <v>0</v>
      </c>
      <c r="BO113" s="17">
        <f>IFERROR(IF(AD$58&gt;='CBA Inputs'!$R37,MAX('CBA Inputs'!$O37-'CBA Inputs'!$O37/'CBA Inputs'!$S37*(AD$58-'CBA Inputs'!$R37+1),0),0)*IF(AD$58=FirstYear+AnalysisPeriod-1,1,0),0)*CapitalCost_ACTIVE*AD$55*IF(Scenario_Select='CBA Inputs'!$T37,1,0)</f>
        <v>0</v>
      </c>
      <c r="BP113" s="17">
        <f>IFERROR(IF(AE$58&gt;='CBA Inputs'!$R37,MAX('CBA Inputs'!$O37-'CBA Inputs'!$O37/'CBA Inputs'!$S37*(AE$58-'CBA Inputs'!$R37+1),0),0)*IF(AE$58=FirstYear+AnalysisPeriod-1,1,0),0)*CapitalCost_ACTIVE*AE$55*IF(Scenario_Select='CBA Inputs'!$T37,1,0)</f>
        <v>0</v>
      </c>
      <c r="BQ113" s="17">
        <f>IFERROR(IF(AF$58&gt;='CBA Inputs'!$R37,MAX('CBA Inputs'!$O37-'CBA Inputs'!$O37/'CBA Inputs'!$S37*(AF$58-'CBA Inputs'!$R37+1),0),0)*IF(AF$58=FirstYear+AnalysisPeriod-1,1,0),0)*CapitalCost_ACTIVE*AF$55*IF(Scenario_Select='CBA Inputs'!$T37,1,0)</f>
        <v>0</v>
      </c>
      <c r="BR113" s="17">
        <f>IFERROR(IF(AG$58&gt;='CBA Inputs'!$R37,MAX('CBA Inputs'!$O37-'CBA Inputs'!$O37/'CBA Inputs'!$S37*(AG$58-'CBA Inputs'!$R37+1),0),0)*IF(AG$58=FirstYear+AnalysisPeriod-1,1,0),0)*CapitalCost_ACTIVE*AG$55*IF(Scenario_Select='CBA Inputs'!$T37,1,0)</f>
        <v>0</v>
      </c>
      <c r="BS113" s="17">
        <f>IFERROR(IF(AH$58&gt;='CBA Inputs'!$R37,MAX('CBA Inputs'!$O37-'CBA Inputs'!$O37/'CBA Inputs'!$S37*(AH$58-'CBA Inputs'!$R37+1),0),0)*IF(AH$58=FirstYear+AnalysisPeriod-1,1,0),0)*CapitalCost_ACTIVE*AH$55*IF(Scenario_Select='CBA Inputs'!$T37,1,0)</f>
        <v>0</v>
      </c>
      <c r="BT113" s="17">
        <f>IFERROR(IF(AI$58&gt;='CBA Inputs'!$R37,MAX('CBA Inputs'!$O37-'CBA Inputs'!$O37/'CBA Inputs'!$S37*(AI$58-'CBA Inputs'!$R37+1),0),0)*IF(AI$58=FirstYear+AnalysisPeriod-1,1,0),0)*CapitalCost_ACTIVE*AI$55*IF(Scenario_Select='CBA Inputs'!$T37,1,0)</f>
        <v>0</v>
      </c>
      <c r="BU113" s="17">
        <f>IFERROR(IF(AJ$58&gt;='CBA Inputs'!$R37,MAX('CBA Inputs'!$O37-'CBA Inputs'!$O37/'CBA Inputs'!$S37*(AJ$58-'CBA Inputs'!$R37+1),0),0)*IF(AJ$58=FirstYear+AnalysisPeriod-1,1,0),0)*CapitalCost_ACTIVE*AJ$55*IF(Scenario_Select='CBA Inputs'!$T37,1,0)</f>
        <v>0</v>
      </c>
    </row>
    <row r="114" spans="2:73" x14ac:dyDescent="0.35">
      <c r="B114" s="9">
        <f t="shared" si="30"/>
        <v>10</v>
      </c>
      <c r="C114" s="26" t="str">
        <f t="shared" si="30"/>
        <v>Option 4A</v>
      </c>
      <c r="D114" s="26" t="str">
        <f t="shared" si="33"/>
        <v>Lines</v>
      </c>
      <c r="E114" s="12" t="s">
        <v>35</v>
      </c>
      <c r="F114" s="18">
        <f t="shared" si="34"/>
        <v>122177066.79384215</v>
      </c>
      <c r="G114" s="17">
        <f>IFERROR(IF(G$58&gt;='CBA Inputs'!$H38,MAX('CBA Inputs'!$E38-'CBA Inputs'!$E38/'CBA Inputs'!$I38*(G$58-'CBA Inputs'!$H38+1),0),0)*IF(G$58=FirstYear+AnalysisPeriod-1,1,0),0)*CapitalCost_ACTIVE*G$55</f>
        <v>0</v>
      </c>
      <c r="H114" s="17">
        <f>IFERROR(IF(H$58&gt;='CBA Inputs'!$H38,MAX('CBA Inputs'!$E38-'CBA Inputs'!$E38/'CBA Inputs'!$I38*(H$58-'CBA Inputs'!$H38+1),0),0)*IF(H$58=FirstYear+AnalysisPeriod-1,1,0),0)*CapitalCost_ACTIVE*H$55</f>
        <v>0</v>
      </c>
      <c r="I114" s="17">
        <f>IFERROR(IF(I$58&gt;='CBA Inputs'!$H38,MAX('CBA Inputs'!$E38-'CBA Inputs'!$E38/'CBA Inputs'!$I38*(I$58-'CBA Inputs'!$H38+1),0),0)*IF(I$58=FirstYear+AnalysisPeriod-1,1,0),0)*CapitalCost_ACTIVE*I$55</f>
        <v>0</v>
      </c>
      <c r="J114" s="17">
        <f>IFERROR(IF(J$58&gt;='CBA Inputs'!$H38,MAX('CBA Inputs'!$E38-'CBA Inputs'!$E38/'CBA Inputs'!$I38*(J$58-'CBA Inputs'!$H38+1),0),0)*IF(J$58=FirstYear+AnalysisPeriod-1,1,0),0)*CapitalCost_ACTIVE*J$55</f>
        <v>0</v>
      </c>
      <c r="K114" s="17">
        <f>IFERROR(IF(K$58&gt;='CBA Inputs'!$H38,MAX('CBA Inputs'!$E38-'CBA Inputs'!$E38/'CBA Inputs'!$I38*(K$58-'CBA Inputs'!$H38+1),0),0)*IF(K$58=FirstYear+AnalysisPeriod-1,1,0),0)*CapitalCost_ACTIVE*K$55</f>
        <v>0</v>
      </c>
      <c r="L114" s="17">
        <f>IFERROR(IF(L$58&gt;='CBA Inputs'!$H38,MAX('CBA Inputs'!$E38-'CBA Inputs'!$E38/'CBA Inputs'!$I38*(L$58-'CBA Inputs'!$H38+1),0),0)*IF(L$58=FirstYear+AnalysisPeriod-1,1,0),0)*CapitalCost_ACTIVE*L$55</f>
        <v>0</v>
      </c>
      <c r="M114" s="17">
        <f>IFERROR(IF(M$58&gt;='CBA Inputs'!$H38,MAX('CBA Inputs'!$E38-'CBA Inputs'!$E38/'CBA Inputs'!$I38*(M$58-'CBA Inputs'!$H38+1),0),0)*IF(M$58=FirstYear+AnalysisPeriod-1,1,0),0)*CapitalCost_ACTIVE*M$55</f>
        <v>0</v>
      </c>
      <c r="N114" s="17">
        <f>IFERROR(IF(N$58&gt;='CBA Inputs'!$H38,MAX('CBA Inputs'!$E38-'CBA Inputs'!$E38/'CBA Inputs'!$I38*(N$58-'CBA Inputs'!$H38+1),0),0)*IF(N$58=FirstYear+AnalysisPeriod-1,1,0),0)*CapitalCost_ACTIVE*N$55</f>
        <v>0</v>
      </c>
      <c r="O114" s="17">
        <f>IFERROR(IF(O$58&gt;='CBA Inputs'!$H38,MAX('CBA Inputs'!$E38-'CBA Inputs'!$E38/'CBA Inputs'!$I38*(O$58-'CBA Inputs'!$H38+1),0),0)*IF(O$58=FirstYear+AnalysisPeriod-1,1,0),0)*CapitalCost_ACTIVE*O$55</f>
        <v>0</v>
      </c>
      <c r="P114" s="17">
        <f>IFERROR(IF(P$58&gt;='CBA Inputs'!$H38,MAX('CBA Inputs'!$E38-'CBA Inputs'!$E38/'CBA Inputs'!$I38*(P$58-'CBA Inputs'!$H38+1),0),0)*IF(P$58=FirstYear+AnalysisPeriod-1,1,0),0)*CapitalCost_ACTIVE*P$55</f>
        <v>0</v>
      </c>
      <c r="Q114" s="17">
        <f>IFERROR(IF(Q$58&gt;='CBA Inputs'!$H38,MAX('CBA Inputs'!$E38-'CBA Inputs'!$E38/'CBA Inputs'!$I38*(Q$58-'CBA Inputs'!$H38+1),0),0)*IF(Q$58=FirstYear+AnalysisPeriod-1,1,0),0)*CapitalCost_ACTIVE*Q$55</f>
        <v>0</v>
      </c>
      <c r="R114" s="17">
        <f>IFERROR(IF(R$58&gt;='CBA Inputs'!$H38,MAX('CBA Inputs'!$E38-'CBA Inputs'!$E38/'CBA Inputs'!$I38*(R$58-'CBA Inputs'!$H38+1),0),0)*IF(R$58=FirstYear+AnalysisPeriod-1,1,0),0)*CapitalCost_ACTIVE*R$55</f>
        <v>0</v>
      </c>
      <c r="S114" s="17">
        <f>IFERROR(IF(S$58&gt;='CBA Inputs'!$H38,MAX('CBA Inputs'!$E38-'CBA Inputs'!$E38/'CBA Inputs'!$I38*(S$58-'CBA Inputs'!$H38+1),0),0)*IF(S$58=FirstYear+AnalysisPeriod-1,1,0),0)*CapitalCost_ACTIVE*S$55</f>
        <v>0</v>
      </c>
      <c r="T114" s="17">
        <f>IFERROR(IF(T$58&gt;='CBA Inputs'!$H38,MAX('CBA Inputs'!$E38-'CBA Inputs'!$E38/'CBA Inputs'!$I38*(T$58-'CBA Inputs'!$H38+1),0),0)*IF(T$58=FirstYear+AnalysisPeriod-1,1,0),0)*CapitalCost_ACTIVE*T$55</f>
        <v>0</v>
      </c>
      <c r="U114" s="17">
        <f>IFERROR(IF(U$58&gt;='CBA Inputs'!$H38,MAX('CBA Inputs'!$E38-'CBA Inputs'!$E38/'CBA Inputs'!$I38*(U$58-'CBA Inputs'!$H38+1),0),0)*IF(U$58=FirstYear+AnalysisPeriod-1,1,0),0)*CapitalCost_ACTIVE*U$55</f>
        <v>0</v>
      </c>
      <c r="V114" s="17">
        <f>IFERROR(IF(V$58&gt;='CBA Inputs'!$H38,MAX('CBA Inputs'!$E38-'CBA Inputs'!$E38/'CBA Inputs'!$I38*(V$58-'CBA Inputs'!$H38+1),0),0)*IF(V$58=FirstYear+AnalysisPeriod-1,1,0),0)*CapitalCost_ACTIVE*V$55</f>
        <v>0</v>
      </c>
      <c r="W114" s="17">
        <f>IFERROR(IF(W$58&gt;='CBA Inputs'!$H38,MAX('CBA Inputs'!$E38-'CBA Inputs'!$E38/'CBA Inputs'!$I38*(W$58-'CBA Inputs'!$H38+1),0),0)*IF(W$58=FirstYear+AnalysisPeriod-1,1,0),0)*CapitalCost_ACTIVE*W$55</f>
        <v>0</v>
      </c>
      <c r="X114" s="17">
        <f>IFERROR(IF(X$58&gt;='CBA Inputs'!$H38,MAX('CBA Inputs'!$E38-'CBA Inputs'!$E38/'CBA Inputs'!$I38*(X$58-'CBA Inputs'!$H38+1),0),0)*IF(X$58=FirstYear+AnalysisPeriod-1,1,0),0)*CapitalCost_ACTIVE*X$55</f>
        <v>0</v>
      </c>
      <c r="Y114" s="17">
        <f>IFERROR(IF(Y$58&gt;='CBA Inputs'!$H38,MAX('CBA Inputs'!$E38-'CBA Inputs'!$E38/'CBA Inputs'!$I38*(Y$58-'CBA Inputs'!$H38+1),0),0)*IF(Y$58=FirstYear+AnalysisPeriod-1,1,0),0)*CapitalCost_ACTIVE*Y$55</f>
        <v>0</v>
      </c>
      <c r="Z114" s="17">
        <f>IFERROR(IF(Z$58&gt;='CBA Inputs'!$H38,MAX('CBA Inputs'!$E38-'CBA Inputs'!$E38/'CBA Inputs'!$I38*(Z$58-'CBA Inputs'!$H38+1),0),0)*IF(Z$58=FirstYear+AnalysisPeriod-1,1,0),0)*CapitalCost_ACTIVE*Z$55</f>
        <v>0</v>
      </c>
      <c r="AA114" s="17">
        <f>IFERROR(IF(AA$58&gt;='CBA Inputs'!$H38,MAX('CBA Inputs'!$E38-'CBA Inputs'!$E38/'CBA Inputs'!$I38*(AA$58-'CBA Inputs'!$H38+1),0),0)*IF(AA$58=FirstYear+AnalysisPeriod-1,1,0),0)*CapitalCost_ACTIVE*AA$55</f>
        <v>0</v>
      </c>
      <c r="AB114" s="17">
        <f>IFERROR(IF(AB$58&gt;='CBA Inputs'!$H38,MAX('CBA Inputs'!$E38-'CBA Inputs'!$E38/'CBA Inputs'!$I38*(AB$58-'CBA Inputs'!$H38+1),0),0)*IF(AB$58=FirstYear+AnalysisPeriod-1,1,0),0)*CapitalCost_ACTIVE*AB$55</f>
        <v>0</v>
      </c>
      <c r="AC114" s="17">
        <f>IFERROR(IF(AC$58&gt;='CBA Inputs'!$H38,MAX('CBA Inputs'!$E38-'CBA Inputs'!$E38/'CBA Inputs'!$I38*(AC$58-'CBA Inputs'!$H38+1),0),0)*IF(AC$58=FirstYear+AnalysisPeriod-1,1,0),0)*CapitalCost_ACTIVE*AC$55</f>
        <v>0</v>
      </c>
      <c r="AD114" s="17">
        <f>IFERROR(IF(AD$58&gt;='CBA Inputs'!$H38,MAX('CBA Inputs'!$E38-'CBA Inputs'!$E38/'CBA Inputs'!$I38*(AD$58-'CBA Inputs'!$H38+1),0),0)*IF(AD$58=FirstYear+AnalysisPeriod-1,1,0),0)*CapitalCost_ACTIVE*AD$55</f>
        <v>0</v>
      </c>
      <c r="AE114" s="17">
        <f>IFERROR(IF(AE$58&gt;='CBA Inputs'!$H38,MAX('CBA Inputs'!$E38-'CBA Inputs'!$E38/'CBA Inputs'!$I38*(AE$58-'CBA Inputs'!$H38+1),0),0)*IF(AE$58=FirstYear+AnalysisPeriod-1,1,0),0)*CapitalCost_ACTIVE*AE$55</f>
        <v>0</v>
      </c>
      <c r="AF114" s="17">
        <f>IFERROR(IF(AF$58&gt;='CBA Inputs'!$H38,MAX('CBA Inputs'!$E38-'CBA Inputs'!$E38/'CBA Inputs'!$I38*(AF$58-'CBA Inputs'!$H38+1),0),0)*IF(AF$58=FirstYear+AnalysisPeriod-1,1,0),0)*CapitalCost_ACTIVE*AF$55</f>
        <v>512140000</v>
      </c>
      <c r="AG114" s="17">
        <f>IFERROR(IF(AG$58&gt;='CBA Inputs'!$H38,MAX('CBA Inputs'!$E38-'CBA Inputs'!$E38/'CBA Inputs'!$I38*(AG$58-'CBA Inputs'!$H38+1),0),0)*IF(AG$58=FirstYear+AnalysisPeriod-1,1,0),0)*CapitalCost_ACTIVE*AG$55</f>
        <v>0</v>
      </c>
      <c r="AH114" s="17">
        <f>IFERROR(IF(AH$58&gt;='CBA Inputs'!$H38,MAX('CBA Inputs'!$E38-'CBA Inputs'!$E38/'CBA Inputs'!$I38*(AH$58-'CBA Inputs'!$H38+1),0),0)*IF(AH$58=FirstYear+AnalysisPeriod-1,1,0),0)*CapitalCost_ACTIVE*AH$55</f>
        <v>0</v>
      </c>
      <c r="AI114" s="17">
        <f>IFERROR(IF(AI$58&gt;='CBA Inputs'!$H38,MAX('CBA Inputs'!$E38-'CBA Inputs'!$E38/'CBA Inputs'!$I38*(AI$58-'CBA Inputs'!$H38+1),0),0)*IF(AI$58=FirstYear+AnalysisPeriod-1,1,0),0)*CapitalCost_ACTIVE*AI$55</f>
        <v>0</v>
      </c>
      <c r="AJ114" s="17">
        <f>IFERROR(IF(AJ$58&gt;='CBA Inputs'!$H38,MAX('CBA Inputs'!$E38-'CBA Inputs'!$E38/'CBA Inputs'!$I38*(AJ$58-'CBA Inputs'!$H38+1),0),0)*IF(AJ$58=FirstYear+AnalysisPeriod-1,1,0),0)*CapitalCost_ACTIVE*AJ$55</f>
        <v>0</v>
      </c>
      <c r="AM114" s="9" t="str">
        <f t="shared" si="35"/>
        <v/>
      </c>
      <c r="AN114" s="26">
        <f t="shared" si="35"/>
        <v>0</v>
      </c>
      <c r="AO114" s="26">
        <f t="shared" si="35"/>
        <v>0</v>
      </c>
      <c r="AP114" s="12" t="s">
        <v>35</v>
      </c>
      <c r="AQ114" s="18">
        <f t="shared" si="36"/>
        <v>0</v>
      </c>
      <c r="AR114" s="17">
        <f>IFERROR(IF(G$58&gt;='CBA Inputs'!$R38,MAX('CBA Inputs'!$O38-'CBA Inputs'!$O38/'CBA Inputs'!$S38*(G$58-'CBA Inputs'!$R38+1),0),0)*IF(G$58=FirstYear+AnalysisPeriod-1,1,0),0)*CapitalCost_ACTIVE*G$55*IF(Scenario_Select='CBA Inputs'!$T38,1,0)</f>
        <v>0</v>
      </c>
      <c r="AS114" s="17">
        <f>IFERROR(IF(H$58&gt;='CBA Inputs'!$R38,MAX('CBA Inputs'!$O38-'CBA Inputs'!$O38/'CBA Inputs'!$S38*(H$58-'CBA Inputs'!$R38+1),0),0)*IF(H$58=FirstYear+AnalysisPeriod-1,1,0),0)*CapitalCost_ACTIVE*H$55*IF(Scenario_Select='CBA Inputs'!$T38,1,0)</f>
        <v>0</v>
      </c>
      <c r="AT114" s="17">
        <f>IFERROR(IF(I$58&gt;='CBA Inputs'!$R38,MAX('CBA Inputs'!$O38-'CBA Inputs'!$O38/'CBA Inputs'!$S38*(I$58-'CBA Inputs'!$R38+1),0),0)*IF(I$58=FirstYear+AnalysisPeriod-1,1,0),0)*CapitalCost_ACTIVE*I$55*IF(Scenario_Select='CBA Inputs'!$T38,1,0)</f>
        <v>0</v>
      </c>
      <c r="AU114" s="17">
        <f>IFERROR(IF(J$58&gt;='CBA Inputs'!$R38,MAX('CBA Inputs'!$O38-'CBA Inputs'!$O38/'CBA Inputs'!$S38*(J$58-'CBA Inputs'!$R38+1),0),0)*IF(J$58=FirstYear+AnalysisPeriod-1,1,0),0)*CapitalCost_ACTIVE*J$55*IF(Scenario_Select='CBA Inputs'!$T38,1,0)</f>
        <v>0</v>
      </c>
      <c r="AV114" s="17">
        <f>IFERROR(IF(K$58&gt;='CBA Inputs'!$R38,MAX('CBA Inputs'!$O38-'CBA Inputs'!$O38/'CBA Inputs'!$S38*(K$58-'CBA Inputs'!$R38+1),0),0)*IF(K$58=FirstYear+AnalysisPeriod-1,1,0),0)*CapitalCost_ACTIVE*K$55*IF(Scenario_Select='CBA Inputs'!$T38,1,0)</f>
        <v>0</v>
      </c>
      <c r="AW114" s="17">
        <f>IFERROR(IF(L$58&gt;='CBA Inputs'!$R38,MAX('CBA Inputs'!$O38-'CBA Inputs'!$O38/'CBA Inputs'!$S38*(L$58-'CBA Inputs'!$R38+1),0),0)*IF(L$58=FirstYear+AnalysisPeriod-1,1,0),0)*CapitalCost_ACTIVE*L$55*IF(Scenario_Select='CBA Inputs'!$T38,1,0)</f>
        <v>0</v>
      </c>
      <c r="AX114" s="17">
        <f>IFERROR(IF(M$58&gt;='CBA Inputs'!$R38,MAX('CBA Inputs'!$O38-'CBA Inputs'!$O38/'CBA Inputs'!$S38*(M$58-'CBA Inputs'!$R38+1),0),0)*IF(M$58=FirstYear+AnalysisPeriod-1,1,0),0)*CapitalCost_ACTIVE*M$55*IF(Scenario_Select='CBA Inputs'!$T38,1,0)</f>
        <v>0</v>
      </c>
      <c r="AY114" s="17">
        <f>IFERROR(IF(N$58&gt;='CBA Inputs'!$R38,MAX('CBA Inputs'!$O38-'CBA Inputs'!$O38/'CBA Inputs'!$S38*(N$58-'CBA Inputs'!$R38+1),0),0)*IF(N$58=FirstYear+AnalysisPeriod-1,1,0),0)*CapitalCost_ACTIVE*N$55*IF(Scenario_Select='CBA Inputs'!$T38,1,0)</f>
        <v>0</v>
      </c>
      <c r="AZ114" s="17">
        <f>IFERROR(IF(O$58&gt;='CBA Inputs'!$R38,MAX('CBA Inputs'!$O38-'CBA Inputs'!$O38/'CBA Inputs'!$S38*(O$58-'CBA Inputs'!$R38+1),0),0)*IF(O$58=FirstYear+AnalysisPeriod-1,1,0),0)*CapitalCost_ACTIVE*O$55*IF(Scenario_Select='CBA Inputs'!$T38,1,0)</f>
        <v>0</v>
      </c>
      <c r="BA114" s="17">
        <f>IFERROR(IF(P$58&gt;='CBA Inputs'!$R38,MAX('CBA Inputs'!$O38-'CBA Inputs'!$O38/'CBA Inputs'!$S38*(P$58-'CBA Inputs'!$R38+1),0),0)*IF(P$58=FirstYear+AnalysisPeriod-1,1,0),0)*CapitalCost_ACTIVE*P$55*IF(Scenario_Select='CBA Inputs'!$T38,1,0)</f>
        <v>0</v>
      </c>
      <c r="BB114" s="17">
        <f>IFERROR(IF(Q$58&gt;='CBA Inputs'!$R38,MAX('CBA Inputs'!$O38-'CBA Inputs'!$O38/'CBA Inputs'!$S38*(Q$58-'CBA Inputs'!$R38+1),0),0)*IF(Q$58=FirstYear+AnalysisPeriod-1,1,0),0)*CapitalCost_ACTIVE*Q$55*IF(Scenario_Select='CBA Inputs'!$T38,1,0)</f>
        <v>0</v>
      </c>
      <c r="BC114" s="17">
        <f>IFERROR(IF(R$58&gt;='CBA Inputs'!$R38,MAX('CBA Inputs'!$O38-'CBA Inputs'!$O38/'CBA Inputs'!$S38*(R$58-'CBA Inputs'!$R38+1),0),0)*IF(R$58=FirstYear+AnalysisPeriod-1,1,0),0)*CapitalCost_ACTIVE*R$55*IF(Scenario_Select='CBA Inputs'!$T38,1,0)</f>
        <v>0</v>
      </c>
      <c r="BD114" s="17">
        <f>IFERROR(IF(S$58&gt;='CBA Inputs'!$R38,MAX('CBA Inputs'!$O38-'CBA Inputs'!$O38/'CBA Inputs'!$S38*(S$58-'CBA Inputs'!$R38+1),0),0)*IF(S$58=FirstYear+AnalysisPeriod-1,1,0),0)*CapitalCost_ACTIVE*S$55*IF(Scenario_Select='CBA Inputs'!$T38,1,0)</f>
        <v>0</v>
      </c>
      <c r="BE114" s="17">
        <f>IFERROR(IF(T$58&gt;='CBA Inputs'!$R38,MAX('CBA Inputs'!$O38-'CBA Inputs'!$O38/'CBA Inputs'!$S38*(T$58-'CBA Inputs'!$R38+1),0),0)*IF(T$58=FirstYear+AnalysisPeriod-1,1,0),0)*CapitalCost_ACTIVE*T$55*IF(Scenario_Select='CBA Inputs'!$T38,1,0)</f>
        <v>0</v>
      </c>
      <c r="BF114" s="17">
        <f>IFERROR(IF(U$58&gt;='CBA Inputs'!$R38,MAX('CBA Inputs'!$O38-'CBA Inputs'!$O38/'CBA Inputs'!$S38*(U$58-'CBA Inputs'!$R38+1),0),0)*IF(U$58=FirstYear+AnalysisPeriod-1,1,0),0)*CapitalCost_ACTIVE*U$55*IF(Scenario_Select='CBA Inputs'!$T38,1,0)</f>
        <v>0</v>
      </c>
      <c r="BG114" s="17">
        <f>IFERROR(IF(V$58&gt;='CBA Inputs'!$R38,MAX('CBA Inputs'!$O38-'CBA Inputs'!$O38/'CBA Inputs'!$S38*(V$58-'CBA Inputs'!$R38+1),0),0)*IF(V$58=FirstYear+AnalysisPeriod-1,1,0),0)*CapitalCost_ACTIVE*V$55*IF(Scenario_Select='CBA Inputs'!$T38,1,0)</f>
        <v>0</v>
      </c>
      <c r="BH114" s="17">
        <f>IFERROR(IF(W$58&gt;='CBA Inputs'!$R38,MAX('CBA Inputs'!$O38-'CBA Inputs'!$O38/'CBA Inputs'!$S38*(W$58-'CBA Inputs'!$R38+1),0),0)*IF(W$58=FirstYear+AnalysisPeriod-1,1,0),0)*CapitalCost_ACTIVE*W$55*IF(Scenario_Select='CBA Inputs'!$T38,1,0)</f>
        <v>0</v>
      </c>
      <c r="BI114" s="17">
        <f>IFERROR(IF(X$58&gt;='CBA Inputs'!$R38,MAX('CBA Inputs'!$O38-'CBA Inputs'!$O38/'CBA Inputs'!$S38*(X$58-'CBA Inputs'!$R38+1),0),0)*IF(X$58=FirstYear+AnalysisPeriod-1,1,0),0)*CapitalCost_ACTIVE*X$55*IF(Scenario_Select='CBA Inputs'!$T38,1,0)</f>
        <v>0</v>
      </c>
      <c r="BJ114" s="17">
        <f>IFERROR(IF(Y$58&gt;='CBA Inputs'!$R38,MAX('CBA Inputs'!$O38-'CBA Inputs'!$O38/'CBA Inputs'!$S38*(Y$58-'CBA Inputs'!$R38+1),0),0)*IF(Y$58=FirstYear+AnalysisPeriod-1,1,0),0)*CapitalCost_ACTIVE*Y$55*IF(Scenario_Select='CBA Inputs'!$T38,1,0)</f>
        <v>0</v>
      </c>
      <c r="BK114" s="17">
        <f>IFERROR(IF(Z$58&gt;='CBA Inputs'!$R38,MAX('CBA Inputs'!$O38-'CBA Inputs'!$O38/'CBA Inputs'!$S38*(Z$58-'CBA Inputs'!$R38+1),0),0)*IF(Z$58=FirstYear+AnalysisPeriod-1,1,0),0)*CapitalCost_ACTIVE*Z$55*IF(Scenario_Select='CBA Inputs'!$T38,1,0)</f>
        <v>0</v>
      </c>
      <c r="BL114" s="17">
        <f>IFERROR(IF(AA$58&gt;='CBA Inputs'!$R38,MAX('CBA Inputs'!$O38-'CBA Inputs'!$O38/'CBA Inputs'!$S38*(AA$58-'CBA Inputs'!$R38+1),0),0)*IF(AA$58=FirstYear+AnalysisPeriod-1,1,0),0)*CapitalCost_ACTIVE*AA$55*IF(Scenario_Select='CBA Inputs'!$T38,1,0)</f>
        <v>0</v>
      </c>
      <c r="BM114" s="17">
        <f>IFERROR(IF(AB$58&gt;='CBA Inputs'!$R38,MAX('CBA Inputs'!$O38-'CBA Inputs'!$O38/'CBA Inputs'!$S38*(AB$58-'CBA Inputs'!$R38+1),0),0)*IF(AB$58=FirstYear+AnalysisPeriod-1,1,0),0)*CapitalCost_ACTIVE*AB$55*IF(Scenario_Select='CBA Inputs'!$T38,1,0)</f>
        <v>0</v>
      </c>
      <c r="BN114" s="17">
        <f>IFERROR(IF(AC$58&gt;='CBA Inputs'!$R38,MAX('CBA Inputs'!$O38-'CBA Inputs'!$O38/'CBA Inputs'!$S38*(AC$58-'CBA Inputs'!$R38+1),0),0)*IF(AC$58=FirstYear+AnalysisPeriod-1,1,0),0)*CapitalCost_ACTIVE*AC$55*IF(Scenario_Select='CBA Inputs'!$T38,1,0)</f>
        <v>0</v>
      </c>
      <c r="BO114" s="17">
        <f>IFERROR(IF(AD$58&gt;='CBA Inputs'!$R38,MAX('CBA Inputs'!$O38-'CBA Inputs'!$O38/'CBA Inputs'!$S38*(AD$58-'CBA Inputs'!$R38+1),0),0)*IF(AD$58=FirstYear+AnalysisPeriod-1,1,0),0)*CapitalCost_ACTIVE*AD$55*IF(Scenario_Select='CBA Inputs'!$T38,1,0)</f>
        <v>0</v>
      </c>
      <c r="BP114" s="17">
        <f>IFERROR(IF(AE$58&gt;='CBA Inputs'!$R38,MAX('CBA Inputs'!$O38-'CBA Inputs'!$O38/'CBA Inputs'!$S38*(AE$58-'CBA Inputs'!$R38+1),0),0)*IF(AE$58=FirstYear+AnalysisPeriod-1,1,0),0)*CapitalCost_ACTIVE*AE$55*IF(Scenario_Select='CBA Inputs'!$T38,1,0)</f>
        <v>0</v>
      </c>
      <c r="BQ114" s="17">
        <f>IFERROR(IF(AF$58&gt;='CBA Inputs'!$R38,MAX('CBA Inputs'!$O38-'CBA Inputs'!$O38/'CBA Inputs'!$S38*(AF$58-'CBA Inputs'!$R38+1),0),0)*IF(AF$58=FirstYear+AnalysisPeriod-1,1,0),0)*CapitalCost_ACTIVE*AF$55*IF(Scenario_Select='CBA Inputs'!$T38,1,0)</f>
        <v>0</v>
      </c>
      <c r="BR114" s="17">
        <f>IFERROR(IF(AG$58&gt;='CBA Inputs'!$R38,MAX('CBA Inputs'!$O38-'CBA Inputs'!$O38/'CBA Inputs'!$S38*(AG$58-'CBA Inputs'!$R38+1),0),0)*IF(AG$58=FirstYear+AnalysisPeriod-1,1,0),0)*CapitalCost_ACTIVE*AG$55*IF(Scenario_Select='CBA Inputs'!$T38,1,0)</f>
        <v>0</v>
      </c>
      <c r="BS114" s="17">
        <f>IFERROR(IF(AH$58&gt;='CBA Inputs'!$R38,MAX('CBA Inputs'!$O38-'CBA Inputs'!$O38/'CBA Inputs'!$S38*(AH$58-'CBA Inputs'!$R38+1),0),0)*IF(AH$58=FirstYear+AnalysisPeriod-1,1,0),0)*CapitalCost_ACTIVE*AH$55*IF(Scenario_Select='CBA Inputs'!$T38,1,0)</f>
        <v>0</v>
      </c>
      <c r="BT114" s="17">
        <f>IFERROR(IF(AI$58&gt;='CBA Inputs'!$R38,MAX('CBA Inputs'!$O38-'CBA Inputs'!$O38/'CBA Inputs'!$S38*(AI$58-'CBA Inputs'!$R38+1),0),0)*IF(AI$58=FirstYear+AnalysisPeriod-1,1,0),0)*CapitalCost_ACTIVE*AI$55*IF(Scenario_Select='CBA Inputs'!$T38,1,0)</f>
        <v>0</v>
      </c>
      <c r="BU114" s="17">
        <f>IFERROR(IF(AJ$58&gt;='CBA Inputs'!$R38,MAX('CBA Inputs'!$O38-'CBA Inputs'!$O38/'CBA Inputs'!$S38*(AJ$58-'CBA Inputs'!$R38+1),0),0)*IF(AJ$58=FirstYear+AnalysisPeriod-1,1,0),0)*CapitalCost_ACTIVE*AJ$55*IF(Scenario_Select='CBA Inputs'!$T38,1,0)</f>
        <v>0</v>
      </c>
    </row>
    <row r="115" spans="2:73" x14ac:dyDescent="0.35">
      <c r="B115" s="9">
        <f t="shared" si="30"/>
        <v>10</v>
      </c>
      <c r="C115" s="26" t="str">
        <f t="shared" si="30"/>
        <v>Option 4A</v>
      </c>
      <c r="D115" s="26" t="str">
        <f t="shared" si="33"/>
        <v>Substation</v>
      </c>
      <c r="E115" s="12" t="s">
        <v>35</v>
      </c>
      <c r="F115" s="18">
        <f t="shared" si="34"/>
        <v>14957828.109450351</v>
      </c>
      <c r="G115" s="17">
        <f>IFERROR(IF(G$58&gt;='CBA Inputs'!$H39,MAX('CBA Inputs'!$E39-'CBA Inputs'!$E39/'CBA Inputs'!$I39*(G$58-'CBA Inputs'!$H39+1),0),0)*IF(G$58=FirstYear+AnalysisPeriod-1,1,0),0)*CapitalCost_ACTIVE*G$55</f>
        <v>0</v>
      </c>
      <c r="H115" s="17">
        <f>IFERROR(IF(H$58&gt;='CBA Inputs'!$H39,MAX('CBA Inputs'!$E39-'CBA Inputs'!$E39/'CBA Inputs'!$I39*(H$58-'CBA Inputs'!$H39+1),0),0)*IF(H$58=FirstYear+AnalysisPeriod-1,1,0),0)*CapitalCost_ACTIVE*H$55</f>
        <v>0</v>
      </c>
      <c r="I115" s="17">
        <f>IFERROR(IF(I$58&gt;='CBA Inputs'!$H39,MAX('CBA Inputs'!$E39-'CBA Inputs'!$E39/'CBA Inputs'!$I39*(I$58-'CBA Inputs'!$H39+1),0),0)*IF(I$58=FirstYear+AnalysisPeriod-1,1,0),0)*CapitalCost_ACTIVE*I$55</f>
        <v>0</v>
      </c>
      <c r="J115" s="17">
        <f>IFERROR(IF(J$58&gt;='CBA Inputs'!$H39,MAX('CBA Inputs'!$E39-'CBA Inputs'!$E39/'CBA Inputs'!$I39*(J$58-'CBA Inputs'!$H39+1),0),0)*IF(J$58=FirstYear+AnalysisPeriod-1,1,0),0)*CapitalCost_ACTIVE*J$55</f>
        <v>0</v>
      </c>
      <c r="K115" s="17">
        <f>IFERROR(IF(K$58&gt;='CBA Inputs'!$H39,MAX('CBA Inputs'!$E39-'CBA Inputs'!$E39/'CBA Inputs'!$I39*(K$58-'CBA Inputs'!$H39+1),0),0)*IF(K$58=FirstYear+AnalysisPeriod-1,1,0),0)*CapitalCost_ACTIVE*K$55</f>
        <v>0</v>
      </c>
      <c r="L115" s="17">
        <f>IFERROR(IF(L$58&gt;='CBA Inputs'!$H39,MAX('CBA Inputs'!$E39-'CBA Inputs'!$E39/'CBA Inputs'!$I39*(L$58-'CBA Inputs'!$H39+1),0),0)*IF(L$58=FirstYear+AnalysisPeriod-1,1,0),0)*CapitalCost_ACTIVE*L$55</f>
        <v>0</v>
      </c>
      <c r="M115" s="17">
        <f>IFERROR(IF(M$58&gt;='CBA Inputs'!$H39,MAX('CBA Inputs'!$E39-'CBA Inputs'!$E39/'CBA Inputs'!$I39*(M$58-'CBA Inputs'!$H39+1),0),0)*IF(M$58=FirstYear+AnalysisPeriod-1,1,0),0)*CapitalCost_ACTIVE*M$55</f>
        <v>0</v>
      </c>
      <c r="N115" s="17">
        <f>IFERROR(IF(N$58&gt;='CBA Inputs'!$H39,MAX('CBA Inputs'!$E39-'CBA Inputs'!$E39/'CBA Inputs'!$I39*(N$58-'CBA Inputs'!$H39+1),0),0)*IF(N$58=FirstYear+AnalysisPeriod-1,1,0),0)*CapitalCost_ACTIVE*N$55</f>
        <v>0</v>
      </c>
      <c r="O115" s="17">
        <f>IFERROR(IF(O$58&gt;='CBA Inputs'!$H39,MAX('CBA Inputs'!$E39-'CBA Inputs'!$E39/'CBA Inputs'!$I39*(O$58-'CBA Inputs'!$H39+1),0),0)*IF(O$58=FirstYear+AnalysisPeriod-1,1,0),0)*CapitalCost_ACTIVE*O$55</f>
        <v>0</v>
      </c>
      <c r="P115" s="17">
        <f>IFERROR(IF(P$58&gt;='CBA Inputs'!$H39,MAX('CBA Inputs'!$E39-'CBA Inputs'!$E39/'CBA Inputs'!$I39*(P$58-'CBA Inputs'!$H39+1),0),0)*IF(P$58=FirstYear+AnalysisPeriod-1,1,0),0)*CapitalCost_ACTIVE*P$55</f>
        <v>0</v>
      </c>
      <c r="Q115" s="17">
        <f>IFERROR(IF(Q$58&gt;='CBA Inputs'!$H39,MAX('CBA Inputs'!$E39-'CBA Inputs'!$E39/'CBA Inputs'!$I39*(Q$58-'CBA Inputs'!$H39+1),0),0)*IF(Q$58=FirstYear+AnalysisPeriod-1,1,0),0)*CapitalCost_ACTIVE*Q$55</f>
        <v>0</v>
      </c>
      <c r="R115" s="17">
        <f>IFERROR(IF(R$58&gt;='CBA Inputs'!$H39,MAX('CBA Inputs'!$E39-'CBA Inputs'!$E39/'CBA Inputs'!$I39*(R$58-'CBA Inputs'!$H39+1),0),0)*IF(R$58=FirstYear+AnalysisPeriod-1,1,0),0)*CapitalCost_ACTIVE*R$55</f>
        <v>0</v>
      </c>
      <c r="S115" s="17">
        <f>IFERROR(IF(S$58&gt;='CBA Inputs'!$H39,MAX('CBA Inputs'!$E39-'CBA Inputs'!$E39/'CBA Inputs'!$I39*(S$58-'CBA Inputs'!$H39+1),0),0)*IF(S$58=FirstYear+AnalysisPeriod-1,1,0),0)*CapitalCost_ACTIVE*S$55</f>
        <v>0</v>
      </c>
      <c r="T115" s="17">
        <f>IFERROR(IF(T$58&gt;='CBA Inputs'!$H39,MAX('CBA Inputs'!$E39-'CBA Inputs'!$E39/'CBA Inputs'!$I39*(T$58-'CBA Inputs'!$H39+1),0),0)*IF(T$58=FirstYear+AnalysisPeriod-1,1,0),0)*CapitalCost_ACTIVE*T$55</f>
        <v>0</v>
      </c>
      <c r="U115" s="17">
        <f>IFERROR(IF(U$58&gt;='CBA Inputs'!$H39,MAX('CBA Inputs'!$E39-'CBA Inputs'!$E39/'CBA Inputs'!$I39*(U$58-'CBA Inputs'!$H39+1),0),0)*IF(U$58=FirstYear+AnalysisPeriod-1,1,0),0)*CapitalCost_ACTIVE*U$55</f>
        <v>0</v>
      </c>
      <c r="V115" s="17">
        <f>IFERROR(IF(V$58&gt;='CBA Inputs'!$H39,MAX('CBA Inputs'!$E39-'CBA Inputs'!$E39/'CBA Inputs'!$I39*(V$58-'CBA Inputs'!$H39+1),0),0)*IF(V$58=FirstYear+AnalysisPeriod-1,1,0),0)*CapitalCost_ACTIVE*V$55</f>
        <v>0</v>
      </c>
      <c r="W115" s="17">
        <f>IFERROR(IF(W$58&gt;='CBA Inputs'!$H39,MAX('CBA Inputs'!$E39-'CBA Inputs'!$E39/'CBA Inputs'!$I39*(W$58-'CBA Inputs'!$H39+1),0),0)*IF(W$58=FirstYear+AnalysisPeriod-1,1,0),0)*CapitalCost_ACTIVE*W$55</f>
        <v>0</v>
      </c>
      <c r="X115" s="17">
        <f>IFERROR(IF(X$58&gt;='CBA Inputs'!$H39,MAX('CBA Inputs'!$E39-'CBA Inputs'!$E39/'CBA Inputs'!$I39*(X$58-'CBA Inputs'!$H39+1),0),0)*IF(X$58=FirstYear+AnalysisPeriod-1,1,0),0)*CapitalCost_ACTIVE*X$55</f>
        <v>0</v>
      </c>
      <c r="Y115" s="17">
        <f>IFERROR(IF(Y$58&gt;='CBA Inputs'!$H39,MAX('CBA Inputs'!$E39-'CBA Inputs'!$E39/'CBA Inputs'!$I39*(Y$58-'CBA Inputs'!$H39+1),0),0)*IF(Y$58=FirstYear+AnalysisPeriod-1,1,0),0)*CapitalCost_ACTIVE*Y$55</f>
        <v>0</v>
      </c>
      <c r="Z115" s="17">
        <f>IFERROR(IF(Z$58&gt;='CBA Inputs'!$H39,MAX('CBA Inputs'!$E39-'CBA Inputs'!$E39/'CBA Inputs'!$I39*(Z$58-'CBA Inputs'!$H39+1),0),0)*IF(Z$58=FirstYear+AnalysisPeriod-1,1,0),0)*CapitalCost_ACTIVE*Z$55</f>
        <v>0</v>
      </c>
      <c r="AA115" s="17">
        <f>IFERROR(IF(AA$58&gt;='CBA Inputs'!$H39,MAX('CBA Inputs'!$E39-'CBA Inputs'!$E39/'CBA Inputs'!$I39*(AA$58-'CBA Inputs'!$H39+1),0),0)*IF(AA$58=FirstYear+AnalysisPeriod-1,1,0),0)*CapitalCost_ACTIVE*AA$55</f>
        <v>0</v>
      </c>
      <c r="AB115" s="17">
        <f>IFERROR(IF(AB$58&gt;='CBA Inputs'!$H39,MAX('CBA Inputs'!$E39-'CBA Inputs'!$E39/'CBA Inputs'!$I39*(AB$58-'CBA Inputs'!$H39+1),0),0)*IF(AB$58=FirstYear+AnalysisPeriod-1,1,0),0)*CapitalCost_ACTIVE*AB$55</f>
        <v>0</v>
      </c>
      <c r="AC115" s="17">
        <f>IFERROR(IF(AC$58&gt;='CBA Inputs'!$H39,MAX('CBA Inputs'!$E39-'CBA Inputs'!$E39/'CBA Inputs'!$I39*(AC$58-'CBA Inputs'!$H39+1),0),0)*IF(AC$58=FirstYear+AnalysisPeriod-1,1,0),0)*CapitalCost_ACTIVE*AC$55</f>
        <v>0</v>
      </c>
      <c r="AD115" s="17">
        <f>IFERROR(IF(AD$58&gt;='CBA Inputs'!$H39,MAX('CBA Inputs'!$E39-'CBA Inputs'!$E39/'CBA Inputs'!$I39*(AD$58-'CBA Inputs'!$H39+1),0),0)*IF(AD$58=FirstYear+AnalysisPeriod-1,1,0),0)*CapitalCost_ACTIVE*AD$55</f>
        <v>0</v>
      </c>
      <c r="AE115" s="17">
        <f>IFERROR(IF(AE$58&gt;='CBA Inputs'!$H39,MAX('CBA Inputs'!$E39-'CBA Inputs'!$E39/'CBA Inputs'!$I39*(AE$58-'CBA Inputs'!$H39+1),0),0)*IF(AE$58=FirstYear+AnalysisPeriod-1,1,0),0)*CapitalCost_ACTIVE*AE$55</f>
        <v>0</v>
      </c>
      <c r="AF115" s="17">
        <f>IFERROR(IF(AF$58&gt;='CBA Inputs'!$H39,MAX('CBA Inputs'!$E39-'CBA Inputs'!$E39/'CBA Inputs'!$I39*(AF$58-'CBA Inputs'!$H39+1),0),0)*IF(AF$58=FirstYear+AnalysisPeriod-1,1,0),0)*CapitalCost_ACTIVE*AF$55</f>
        <v>62700000</v>
      </c>
      <c r="AG115" s="17">
        <f>IFERROR(IF(AG$58&gt;='CBA Inputs'!$H39,MAX('CBA Inputs'!$E39-'CBA Inputs'!$E39/'CBA Inputs'!$I39*(AG$58-'CBA Inputs'!$H39+1),0),0)*IF(AG$58=FirstYear+AnalysisPeriod-1,1,0),0)*CapitalCost_ACTIVE*AG$55</f>
        <v>0</v>
      </c>
      <c r="AH115" s="17">
        <f>IFERROR(IF(AH$58&gt;='CBA Inputs'!$H39,MAX('CBA Inputs'!$E39-'CBA Inputs'!$E39/'CBA Inputs'!$I39*(AH$58-'CBA Inputs'!$H39+1),0),0)*IF(AH$58=FirstYear+AnalysisPeriod-1,1,0),0)*CapitalCost_ACTIVE*AH$55</f>
        <v>0</v>
      </c>
      <c r="AI115" s="17">
        <f>IFERROR(IF(AI$58&gt;='CBA Inputs'!$H39,MAX('CBA Inputs'!$E39-'CBA Inputs'!$E39/'CBA Inputs'!$I39*(AI$58-'CBA Inputs'!$H39+1),0),0)*IF(AI$58=FirstYear+AnalysisPeriod-1,1,0),0)*CapitalCost_ACTIVE*AI$55</f>
        <v>0</v>
      </c>
      <c r="AJ115" s="17">
        <f>IFERROR(IF(AJ$58&gt;='CBA Inputs'!$H39,MAX('CBA Inputs'!$E39-'CBA Inputs'!$E39/'CBA Inputs'!$I39*(AJ$58-'CBA Inputs'!$H39+1),0),0)*IF(AJ$58=FirstYear+AnalysisPeriod-1,1,0),0)*CapitalCost_ACTIVE*AJ$55</f>
        <v>0</v>
      </c>
      <c r="AM115" s="9" t="str">
        <f t="shared" si="35"/>
        <v/>
      </c>
      <c r="AN115" s="26">
        <f t="shared" si="35"/>
        <v>0</v>
      </c>
      <c r="AO115" s="26">
        <f t="shared" si="35"/>
        <v>0</v>
      </c>
      <c r="AP115" s="12" t="s">
        <v>35</v>
      </c>
      <c r="AQ115" s="18">
        <f t="shared" si="36"/>
        <v>0</v>
      </c>
      <c r="AR115" s="17">
        <f>IFERROR(IF(G$58&gt;='CBA Inputs'!$R39,MAX('CBA Inputs'!$O39-'CBA Inputs'!$O39/'CBA Inputs'!$S39*(G$58-'CBA Inputs'!$R39+1),0),0)*IF(G$58=FirstYear+AnalysisPeriod-1,1,0),0)*CapitalCost_ACTIVE*G$55*IF(Scenario_Select='CBA Inputs'!$T39,1,0)</f>
        <v>0</v>
      </c>
      <c r="AS115" s="17">
        <f>IFERROR(IF(H$58&gt;='CBA Inputs'!$R39,MAX('CBA Inputs'!$O39-'CBA Inputs'!$O39/'CBA Inputs'!$S39*(H$58-'CBA Inputs'!$R39+1),0),0)*IF(H$58=FirstYear+AnalysisPeriod-1,1,0),0)*CapitalCost_ACTIVE*H$55*IF(Scenario_Select='CBA Inputs'!$T39,1,0)</f>
        <v>0</v>
      </c>
      <c r="AT115" s="17">
        <f>IFERROR(IF(I$58&gt;='CBA Inputs'!$R39,MAX('CBA Inputs'!$O39-'CBA Inputs'!$O39/'CBA Inputs'!$S39*(I$58-'CBA Inputs'!$R39+1),0),0)*IF(I$58=FirstYear+AnalysisPeriod-1,1,0),0)*CapitalCost_ACTIVE*I$55*IF(Scenario_Select='CBA Inputs'!$T39,1,0)</f>
        <v>0</v>
      </c>
      <c r="AU115" s="17">
        <f>IFERROR(IF(J$58&gt;='CBA Inputs'!$R39,MAX('CBA Inputs'!$O39-'CBA Inputs'!$O39/'CBA Inputs'!$S39*(J$58-'CBA Inputs'!$R39+1),0),0)*IF(J$58=FirstYear+AnalysisPeriod-1,1,0),0)*CapitalCost_ACTIVE*J$55*IF(Scenario_Select='CBA Inputs'!$T39,1,0)</f>
        <v>0</v>
      </c>
      <c r="AV115" s="17">
        <f>IFERROR(IF(K$58&gt;='CBA Inputs'!$R39,MAX('CBA Inputs'!$O39-'CBA Inputs'!$O39/'CBA Inputs'!$S39*(K$58-'CBA Inputs'!$R39+1),0),0)*IF(K$58=FirstYear+AnalysisPeriod-1,1,0),0)*CapitalCost_ACTIVE*K$55*IF(Scenario_Select='CBA Inputs'!$T39,1,0)</f>
        <v>0</v>
      </c>
      <c r="AW115" s="17">
        <f>IFERROR(IF(L$58&gt;='CBA Inputs'!$R39,MAX('CBA Inputs'!$O39-'CBA Inputs'!$O39/'CBA Inputs'!$S39*(L$58-'CBA Inputs'!$R39+1),0),0)*IF(L$58=FirstYear+AnalysisPeriod-1,1,0),0)*CapitalCost_ACTIVE*L$55*IF(Scenario_Select='CBA Inputs'!$T39,1,0)</f>
        <v>0</v>
      </c>
      <c r="AX115" s="17">
        <f>IFERROR(IF(M$58&gt;='CBA Inputs'!$R39,MAX('CBA Inputs'!$O39-'CBA Inputs'!$O39/'CBA Inputs'!$S39*(M$58-'CBA Inputs'!$R39+1),0),0)*IF(M$58=FirstYear+AnalysisPeriod-1,1,0),0)*CapitalCost_ACTIVE*M$55*IF(Scenario_Select='CBA Inputs'!$T39,1,0)</f>
        <v>0</v>
      </c>
      <c r="AY115" s="17">
        <f>IFERROR(IF(N$58&gt;='CBA Inputs'!$R39,MAX('CBA Inputs'!$O39-'CBA Inputs'!$O39/'CBA Inputs'!$S39*(N$58-'CBA Inputs'!$R39+1),0),0)*IF(N$58=FirstYear+AnalysisPeriod-1,1,0),0)*CapitalCost_ACTIVE*N$55*IF(Scenario_Select='CBA Inputs'!$T39,1,0)</f>
        <v>0</v>
      </c>
      <c r="AZ115" s="17">
        <f>IFERROR(IF(O$58&gt;='CBA Inputs'!$R39,MAX('CBA Inputs'!$O39-'CBA Inputs'!$O39/'CBA Inputs'!$S39*(O$58-'CBA Inputs'!$R39+1),0),0)*IF(O$58=FirstYear+AnalysisPeriod-1,1,0),0)*CapitalCost_ACTIVE*O$55*IF(Scenario_Select='CBA Inputs'!$T39,1,0)</f>
        <v>0</v>
      </c>
      <c r="BA115" s="17">
        <f>IFERROR(IF(P$58&gt;='CBA Inputs'!$R39,MAX('CBA Inputs'!$O39-'CBA Inputs'!$O39/'CBA Inputs'!$S39*(P$58-'CBA Inputs'!$R39+1),0),0)*IF(P$58=FirstYear+AnalysisPeriod-1,1,0),0)*CapitalCost_ACTIVE*P$55*IF(Scenario_Select='CBA Inputs'!$T39,1,0)</f>
        <v>0</v>
      </c>
      <c r="BB115" s="17">
        <f>IFERROR(IF(Q$58&gt;='CBA Inputs'!$R39,MAX('CBA Inputs'!$O39-'CBA Inputs'!$O39/'CBA Inputs'!$S39*(Q$58-'CBA Inputs'!$R39+1),0),0)*IF(Q$58=FirstYear+AnalysisPeriod-1,1,0),0)*CapitalCost_ACTIVE*Q$55*IF(Scenario_Select='CBA Inputs'!$T39,1,0)</f>
        <v>0</v>
      </c>
      <c r="BC115" s="17">
        <f>IFERROR(IF(R$58&gt;='CBA Inputs'!$R39,MAX('CBA Inputs'!$O39-'CBA Inputs'!$O39/'CBA Inputs'!$S39*(R$58-'CBA Inputs'!$R39+1),0),0)*IF(R$58=FirstYear+AnalysisPeriod-1,1,0),0)*CapitalCost_ACTIVE*R$55*IF(Scenario_Select='CBA Inputs'!$T39,1,0)</f>
        <v>0</v>
      </c>
      <c r="BD115" s="17">
        <f>IFERROR(IF(S$58&gt;='CBA Inputs'!$R39,MAX('CBA Inputs'!$O39-'CBA Inputs'!$O39/'CBA Inputs'!$S39*(S$58-'CBA Inputs'!$R39+1),0),0)*IF(S$58=FirstYear+AnalysisPeriod-1,1,0),0)*CapitalCost_ACTIVE*S$55*IF(Scenario_Select='CBA Inputs'!$T39,1,0)</f>
        <v>0</v>
      </c>
      <c r="BE115" s="17">
        <f>IFERROR(IF(T$58&gt;='CBA Inputs'!$R39,MAX('CBA Inputs'!$O39-'CBA Inputs'!$O39/'CBA Inputs'!$S39*(T$58-'CBA Inputs'!$R39+1),0),0)*IF(T$58=FirstYear+AnalysisPeriod-1,1,0),0)*CapitalCost_ACTIVE*T$55*IF(Scenario_Select='CBA Inputs'!$T39,1,0)</f>
        <v>0</v>
      </c>
      <c r="BF115" s="17">
        <f>IFERROR(IF(U$58&gt;='CBA Inputs'!$R39,MAX('CBA Inputs'!$O39-'CBA Inputs'!$O39/'CBA Inputs'!$S39*(U$58-'CBA Inputs'!$R39+1),0),0)*IF(U$58=FirstYear+AnalysisPeriod-1,1,0),0)*CapitalCost_ACTIVE*U$55*IF(Scenario_Select='CBA Inputs'!$T39,1,0)</f>
        <v>0</v>
      </c>
      <c r="BG115" s="17">
        <f>IFERROR(IF(V$58&gt;='CBA Inputs'!$R39,MAX('CBA Inputs'!$O39-'CBA Inputs'!$O39/'CBA Inputs'!$S39*(V$58-'CBA Inputs'!$R39+1),0),0)*IF(V$58=FirstYear+AnalysisPeriod-1,1,0),0)*CapitalCost_ACTIVE*V$55*IF(Scenario_Select='CBA Inputs'!$T39,1,0)</f>
        <v>0</v>
      </c>
      <c r="BH115" s="17">
        <f>IFERROR(IF(W$58&gt;='CBA Inputs'!$R39,MAX('CBA Inputs'!$O39-'CBA Inputs'!$O39/'CBA Inputs'!$S39*(W$58-'CBA Inputs'!$R39+1),0),0)*IF(W$58=FirstYear+AnalysisPeriod-1,1,0),0)*CapitalCost_ACTIVE*W$55*IF(Scenario_Select='CBA Inputs'!$T39,1,0)</f>
        <v>0</v>
      </c>
      <c r="BI115" s="17">
        <f>IFERROR(IF(X$58&gt;='CBA Inputs'!$R39,MAX('CBA Inputs'!$O39-'CBA Inputs'!$O39/'CBA Inputs'!$S39*(X$58-'CBA Inputs'!$R39+1),0),0)*IF(X$58=FirstYear+AnalysisPeriod-1,1,0),0)*CapitalCost_ACTIVE*X$55*IF(Scenario_Select='CBA Inputs'!$T39,1,0)</f>
        <v>0</v>
      </c>
      <c r="BJ115" s="17">
        <f>IFERROR(IF(Y$58&gt;='CBA Inputs'!$R39,MAX('CBA Inputs'!$O39-'CBA Inputs'!$O39/'CBA Inputs'!$S39*(Y$58-'CBA Inputs'!$R39+1),0),0)*IF(Y$58=FirstYear+AnalysisPeriod-1,1,0),0)*CapitalCost_ACTIVE*Y$55*IF(Scenario_Select='CBA Inputs'!$T39,1,0)</f>
        <v>0</v>
      </c>
      <c r="BK115" s="17">
        <f>IFERROR(IF(Z$58&gt;='CBA Inputs'!$R39,MAX('CBA Inputs'!$O39-'CBA Inputs'!$O39/'CBA Inputs'!$S39*(Z$58-'CBA Inputs'!$R39+1),0),0)*IF(Z$58=FirstYear+AnalysisPeriod-1,1,0),0)*CapitalCost_ACTIVE*Z$55*IF(Scenario_Select='CBA Inputs'!$T39,1,0)</f>
        <v>0</v>
      </c>
      <c r="BL115" s="17">
        <f>IFERROR(IF(AA$58&gt;='CBA Inputs'!$R39,MAX('CBA Inputs'!$O39-'CBA Inputs'!$O39/'CBA Inputs'!$S39*(AA$58-'CBA Inputs'!$R39+1),0),0)*IF(AA$58=FirstYear+AnalysisPeriod-1,1,0),0)*CapitalCost_ACTIVE*AA$55*IF(Scenario_Select='CBA Inputs'!$T39,1,0)</f>
        <v>0</v>
      </c>
      <c r="BM115" s="17">
        <f>IFERROR(IF(AB$58&gt;='CBA Inputs'!$R39,MAX('CBA Inputs'!$O39-'CBA Inputs'!$O39/'CBA Inputs'!$S39*(AB$58-'CBA Inputs'!$R39+1),0),0)*IF(AB$58=FirstYear+AnalysisPeriod-1,1,0),0)*CapitalCost_ACTIVE*AB$55*IF(Scenario_Select='CBA Inputs'!$T39,1,0)</f>
        <v>0</v>
      </c>
      <c r="BN115" s="17">
        <f>IFERROR(IF(AC$58&gt;='CBA Inputs'!$R39,MAX('CBA Inputs'!$O39-'CBA Inputs'!$O39/'CBA Inputs'!$S39*(AC$58-'CBA Inputs'!$R39+1),0),0)*IF(AC$58=FirstYear+AnalysisPeriod-1,1,0),0)*CapitalCost_ACTIVE*AC$55*IF(Scenario_Select='CBA Inputs'!$T39,1,0)</f>
        <v>0</v>
      </c>
      <c r="BO115" s="17">
        <f>IFERROR(IF(AD$58&gt;='CBA Inputs'!$R39,MAX('CBA Inputs'!$O39-'CBA Inputs'!$O39/'CBA Inputs'!$S39*(AD$58-'CBA Inputs'!$R39+1),0),0)*IF(AD$58=FirstYear+AnalysisPeriod-1,1,0),0)*CapitalCost_ACTIVE*AD$55*IF(Scenario_Select='CBA Inputs'!$T39,1,0)</f>
        <v>0</v>
      </c>
      <c r="BP115" s="17">
        <f>IFERROR(IF(AE$58&gt;='CBA Inputs'!$R39,MAX('CBA Inputs'!$O39-'CBA Inputs'!$O39/'CBA Inputs'!$S39*(AE$58-'CBA Inputs'!$R39+1),0),0)*IF(AE$58=FirstYear+AnalysisPeriod-1,1,0),0)*CapitalCost_ACTIVE*AE$55*IF(Scenario_Select='CBA Inputs'!$T39,1,0)</f>
        <v>0</v>
      </c>
      <c r="BQ115" s="17">
        <f>IFERROR(IF(AF$58&gt;='CBA Inputs'!$R39,MAX('CBA Inputs'!$O39-'CBA Inputs'!$O39/'CBA Inputs'!$S39*(AF$58-'CBA Inputs'!$R39+1),0),0)*IF(AF$58=FirstYear+AnalysisPeriod-1,1,0),0)*CapitalCost_ACTIVE*AF$55*IF(Scenario_Select='CBA Inputs'!$T39,1,0)</f>
        <v>0</v>
      </c>
      <c r="BR115" s="17">
        <f>IFERROR(IF(AG$58&gt;='CBA Inputs'!$R39,MAX('CBA Inputs'!$O39-'CBA Inputs'!$O39/'CBA Inputs'!$S39*(AG$58-'CBA Inputs'!$R39+1),0),0)*IF(AG$58=FirstYear+AnalysisPeriod-1,1,0),0)*CapitalCost_ACTIVE*AG$55*IF(Scenario_Select='CBA Inputs'!$T39,1,0)</f>
        <v>0</v>
      </c>
      <c r="BS115" s="17">
        <f>IFERROR(IF(AH$58&gt;='CBA Inputs'!$R39,MAX('CBA Inputs'!$O39-'CBA Inputs'!$O39/'CBA Inputs'!$S39*(AH$58-'CBA Inputs'!$R39+1),0),0)*IF(AH$58=FirstYear+AnalysisPeriod-1,1,0),0)*CapitalCost_ACTIVE*AH$55*IF(Scenario_Select='CBA Inputs'!$T39,1,0)</f>
        <v>0</v>
      </c>
      <c r="BT115" s="17">
        <f>IFERROR(IF(AI$58&gt;='CBA Inputs'!$R39,MAX('CBA Inputs'!$O39-'CBA Inputs'!$O39/'CBA Inputs'!$S39*(AI$58-'CBA Inputs'!$R39+1),0),0)*IF(AI$58=FirstYear+AnalysisPeriod-1,1,0),0)*CapitalCost_ACTIVE*AI$55*IF(Scenario_Select='CBA Inputs'!$T39,1,0)</f>
        <v>0</v>
      </c>
      <c r="BU115" s="17">
        <f>IFERROR(IF(AJ$58&gt;='CBA Inputs'!$R39,MAX('CBA Inputs'!$O39-'CBA Inputs'!$O39/'CBA Inputs'!$S39*(AJ$58-'CBA Inputs'!$R39+1),0),0)*IF(AJ$58=FirstYear+AnalysisPeriod-1,1,0),0)*CapitalCost_ACTIVE*AJ$55*IF(Scenario_Select='CBA Inputs'!$T39,1,0)</f>
        <v>0</v>
      </c>
    </row>
    <row r="116" spans="2:73" x14ac:dyDescent="0.35">
      <c r="B116" s="9">
        <f t="shared" si="30"/>
        <v>10</v>
      </c>
      <c r="C116" s="26" t="str">
        <f t="shared" si="30"/>
        <v>Option 4A</v>
      </c>
      <c r="D116" s="26" t="str">
        <f t="shared" si="33"/>
        <v>Lines</v>
      </c>
      <c r="E116" s="12" t="s">
        <v>35</v>
      </c>
      <c r="F116" s="18">
        <f t="shared" si="34"/>
        <v>43799955.995136917</v>
      </c>
      <c r="G116" s="17">
        <f>IFERROR(IF(G$58&gt;='CBA Inputs'!$H40,MAX('CBA Inputs'!$E40-'CBA Inputs'!$E40/'CBA Inputs'!$I40*(G$58-'CBA Inputs'!$H40+1),0),0)*IF(G$58=FirstYear+AnalysisPeriod-1,1,0),0)*CapitalCost_ACTIVE*G$55</f>
        <v>0</v>
      </c>
      <c r="H116" s="17">
        <f>IFERROR(IF(H$58&gt;='CBA Inputs'!$H40,MAX('CBA Inputs'!$E40-'CBA Inputs'!$E40/'CBA Inputs'!$I40*(H$58-'CBA Inputs'!$H40+1),0),0)*IF(H$58=FirstYear+AnalysisPeriod-1,1,0),0)*CapitalCost_ACTIVE*H$55</f>
        <v>0</v>
      </c>
      <c r="I116" s="17">
        <f>IFERROR(IF(I$58&gt;='CBA Inputs'!$H40,MAX('CBA Inputs'!$E40-'CBA Inputs'!$E40/'CBA Inputs'!$I40*(I$58-'CBA Inputs'!$H40+1),0),0)*IF(I$58=FirstYear+AnalysisPeriod-1,1,0),0)*CapitalCost_ACTIVE*I$55</f>
        <v>0</v>
      </c>
      <c r="J116" s="17">
        <f>IFERROR(IF(J$58&gt;='CBA Inputs'!$H40,MAX('CBA Inputs'!$E40-'CBA Inputs'!$E40/'CBA Inputs'!$I40*(J$58-'CBA Inputs'!$H40+1),0),0)*IF(J$58=FirstYear+AnalysisPeriod-1,1,0),0)*CapitalCost_ACTIVE*J$55</f>
        <v>0</v>
      </c>
      <c r="K116" s="17">
        <f>IFERROR(IF(K$58&gt;='CBA Inputs'!$H40,MAX('CBA Inputs'!$E40-'CBA Inputs'!$E40/'CBA Inputs'!$I40*(K$58-'CBA Inputs'!$H40+1),0),0)*IF(K$58=FirstYear+AnalysisPeriod-1,1,0),0)*CapitalCost_ACTIVE*K$55</f>
        <v>0</v>
      </c>
      <c r="L116" s="17">
        <f>IFERROR(IF(L$58&gt;='CBA Inputs'!$H40,MAX('CBA Inputs'!$E40-'CBA Inputs'!$E40/'CBA Inputs'!$I40*(L$58-'CBA Inputs'!$H40+1),0),0)*IF(L$58=FirstYear+AnalysisPeriod-1,1,0),0)*CapitalCost_ACTIVE*L$55</f>
        <v>0</v>
      </c>
      <c r="M116" s="17">
        <f>IFERROR(IF(M$58&gt;='CBA Inputs'!$H40,MAX('CBA Inputs'!$E40-'CBA Inputs'!$E40/'CBA Inputs'!$I40*(M$58-'CBA Inputs'!$H40+1),0),0)*IF(M$58=FirstYear+AnalysisPeriod-1,1,0),0)*CapitalCost_ACTIVE*M$55</f>
        <v>0</v>
      </c>
      <c r="N116" s="17">
        <f>IFERROR(IF(N$58&gt;='CBA Inputs'!$H40,MAX('CBA Inputs'!$E40-'CBA Inputs'!$E40/'CBA Inputs'!$I40*(N$58-'CBA Inputs'!$H40+1),0),0)*IF(N$58=FirstYear+AnalysisPeriod-1,1,0),0)*CapitalCost_ACTIVE*N$55</f>
        <v>0</v>
      </c>
      <c r="O116" s="17">
        <f>IFERROR(IF(O$58&gt;='CBA Inputs'!$H40,MAX('CBA Inputs'!$E40-'CBA Inputs'!$E40/'CBA Inputs'!$I40*(O$58-'CBA Inputs'!$H40+1),0),0)*IF(O$58=FirstYear+AnalysisPeriod-1,1,0),0)*CapitalCost_ACTIVE*O$55</f>
        <v>0</v>
      </c>
      <c r="P116" s="17">
        <f>IFERROR(IF(P$58&gt;='CBA Inputs'!$H40,MAX('CBA Inputs'!$E40-'CBA Inputs'!$E40/'CBA Inputs'!$I40*(P$58-'CBA Inputs'!$H40+1),0),0)*IF(P$58=FirstYear+AnalysisPeriod-1,1,0),0)*CapitalCost_ACTIVE*P$55</f>
        <v>0</v>
      </c>
      <c r="Q116" s="17">
        <f>IFERROR(IF(Q$58&gt;='CBA Inputs'!$H40,MAX('CBA Inputs'!$E40-'CBA Inputs'!$E40/'CBA Inputs'!$I40*(Q$58-'CBA Inputs'!$H40+1),0),0)*IF(Q$58=FirstYear+AnalysisPeriod-1,1,0),0)*CapitalCost_ACTIVE*Q$55</f>
        <v>0</v>
      </c>
      <c r="R116" s="17">
        <f>IFERROR(IF(R$58&gt;='CBA Inputs'!$H40,MAX('CBA Inputs'!$E40-'CBA Inputs'!$E40/'CBA Inputs'!$I40*(R$58-'CBA Inputs'!$H40+1),0),0)*IF(R$58=FirstYear+AnalysisPeriod-1,1,0),0)*CapitalCost_ACTIVE*R$55</f>
        <v>0</v>
      </c>
      <c r="S116" s="17">
        <f>IFERROR(IF(S$58&gt;='CBA Inputs'!$H40,MAX('CBA Inputs'!$E40-'CBA Inputs'!$E40/'CBA Inputs'!$I40*(S$58-'CBA Inputs'!$H40+1),0),0)*IF(S$58=FirstYear+AnalysisPeriod-1,1,0),0)*CapitalCost_ACTIVE*S$55</f>
        <v>0</v>
      </c>
      <c r="T116" s="17">
        <f>IFERROR(IF(T$58&gt;='CBA Inputs'!$H40,MAX('CBA Inputs'!$E40-'CBA Inputs'!$E40/'CBA Inputs'!$I40*(T$58-'CBA Inputs'!$H40+1),0),0)*IF(T$58=FirstYear+AnalysisPeriod-1,1,0),0)*CapitalCost_ACTIVE*T$55</f>
        <v>0</v>
      </c>
      <c r="U116" s="17">
        <f>IFERROR(IF(U$58&gt;='CBA Inputs'!$H40,MAX('CBA Inputs'!$E40-'CBA Inputs'!$E40/'CBA Inputs'!$I40*(U$58-'CBA Inputs'!$H40+1),0),0)*IF(U$58=FirstYear+AnalysisPeriod-1,1,0),0)*CapitalCost_ACTIVE*U$55</f>
        <v>0</v>
      </c>
      <c r="V116" s="17">
        <f>IFERROR(IF(V$58&gt;='CBA Inputs'!$H40,MAX('CBA Inputs'!$E40-'CBA Inputs'!$E40/'CBA Inputs'!$I40*(V$58-'CBA Inputs'!$H40+1),0),0)*IF(V$58=FirstYear+AnalysisPeriod-1,1,0),0)*CapitalCost_ACTIVE*V$55</f>
        <v>0</v>
      </c>
      <c r="W116" s="17">
        <f>IFERROR(IF(W$58&gt;='CBA Inputs'!$H40,MAX('CBA Inputs'!$E40-'CBA Inputs'!$E40/'CBA Inputs'!$I40*(W$58-'CBA Inputs'!$H40+1),0),0)*IF(W$58=FirstYear+AnalysisPeriod-1,1,0),0)*CapitalCost_ACTIVE*W$55</f>
        <v>0</v>
      </c>
      <c r="X116" s="17">
        <f>IFERROR(IF(X$58&gt;='CBA Inputs'!$H40,MAX('CBA Inputs'!$E40-'CBA Inputs'!$E40/'CBA Inputs'!$I40*(X$58-'CBA Inputs'!$H40+1),0),0)*IF(X$58=FirstYear+AnalysisPeriod-1,1,0),0)*CapitalCost_ACTIVE*X$55</f>
        <v>0</v>
      </c>
      <c r="Y116" s="17">
        <f>IFERROR(IF(Y$58&gt;='CBA Inputs'!$H40,MAX('CBA Inputs'!$E40-'CBA Inputs'!$E40/'CBA Inputs'!$I40*(Y$58-'CBA Inputs'!$H40+1),0),0)*IF(Y$58=FirstYear+AnalysisPeriod-1,1,0),0)*CapitalCost_ACTIVE*Y$55</f>
        <v>0</v>
      </c>
      <c r="Z116" s="17">
        <f>IFERROR(IF(Z$58&gt;='CBA Inputs'!$H40,MAX('CBA Inputs'!$E40-'CBA Inputs'!$E40/'CBA Inputs'!$I40*(Z$58-'CBA Inputs'!$H40+1),0),0)*IF(Z$58=FirstYear+AnalysisPeriod-1,1,0),0)*CapitalCost_ACTIVE*Z$55</f>
        <v>0</v>
      </c>
      <c r="AA116" s="17">
        <f>IFERROR(IF(AA$58&gt;='CBA Inputs'!$H40,MAX('CBA Inputs'!$E40-'CBA Inputs'!$E40/'CBA Inputs'!$I40*(AA$58-'CBA Inputs'!$H40+1),0),0)*IF(AA$58=FirstYear+AnalysisPeriod-1,1,0),0)*CapitalCost_ACTIVE*AA$55</f>
        <v>0</v>
      </c>
      <c r="AB116" s="17">
        <f>IFERROR(IF(AB$58&gt;='CBA Inputs'!$H40,MAX('CBA Inputs'!$E40-'CBA Inputs'!$E40/'CBA Inputs'!$I40*(AB$58-'CBA Inputs'!$H40+1),0),0)*IF(AB$58=FirstYear+AnalysisPeriod-1,1,0),0)*CapitalCost_ACTIVE*AB$55</f>
        <v>0</v>
      </c>
      <c r="AC116" s="17">
        <f>IFERROR(IF(AC$58&gt;='CBA Inputs'!$H40,MAX('CBA Inputs'!$E40-'CBA Inputs'!$E40/'CBA Inputs'!$I40*(AC$58-'CBA Inputs'!$H40+1),0),0)*IF(AC$58=FirstYear+AnalysisPeriod-1,1,0),0)*CapitalCost_ACTIVE*AC$55</f>
        <v>0</v>
      </c>
      <c r="AD116" s="17">
        <f>IFERROR(IF(AD$58&gt;='CBA Inputs'!$H40,MAX('CBA Inputs'!$E40-'CBA Inputs'!$E40/'CBA Inputs'!$I40*(AD$58-'CBA Inputs'!$H40+1),0),0)*IF(AD$58=FirstYear+AnalysisPeriod-1,1,0),0)*CapitalCost_ACTIVE*AD$55</f>
        <v>0</v>
      </c>
      <c r="AE116" s="17">
        <f>IFERROR(IF(AE$58&gt;='CBA Inputs'!$H40,MAX('CBA Inputs'!$E40-'CBA Inputs'!$E40/'CBA Inputs'!$I40*(AE$58-'CBA Inputs'!$H40+1),0),0)*IF(AE$58=FirstYear+AnalysisPeriod-1,1,0),0)*CapitalCost_ACTIVE*AE$55</f>
        <v>0</v>
      </c>
      <c r="AF116" s="17">
        <f>IFERROR(IF(AF$58&gt;='CBA Inputs'!$H40,MAX('CBA Inputs'!$E40-'CBA Inputs'!$E40/'CBA Inputs'!$I40*(AF$58-'CBA Inputs'!$H40+1),0),0)*IF(AF$58=FirstYear+AnalysisPeriod-1,1,0),0)*CapitalCost_ACTIVE*AF$55</f>
        <v>183600000</v>
      </c>
      <c r="AG116" s="17">
        <f>IFERROR(IF(AG$58&gt;='CBA Inputs'!$H40,MAX('CBA Inputs'!$E40-'CBA Inputs'!$E40/'CBA Inputs'!$I40*(AG$58-'CBA Inputs'!$H40+1),0),0)*IF(AG$58=FirstYear+AnalysisPeriod-1,1,0),0)*CapitalCost_ACTIVE*AG$55</f>
        <v>0</v>
      </c>
      <c r="AH116" s="17">
        <f>IFERROR(IF(AH$58&gt;='CBA Inputs'!$H40,MAX('CBA Inputs'!$E40-'CBA Inputs'!$E40/'CBA Inputs'!$I40*(AH$58-'CBA Inputs'!$H40+1),0),0)*IF(AH$58=FirstYear+AnalysisPeriod-1,1,0),0)*CapitalCost_ACTIVE*AH$55</f>
        <v>0</v>
      </c>
      <c r="AI116" s="17">
        <f>IFERROR(IF(AI$58&gt;='CBA Inputs'!$H40,MAX('CBA Inputs'!$E40-'CBA Inputs'!$E40/'CBA Inputs'!$I40*(AI$58-'CBA Inputs'!$H40+1),0),0)*IF(AI$58=FirstYear+AnalysisPeriod-1,1,0),0)*CapitalCost_ACTIVE*AI$55</f>
        <v>0</v>
      </c>
      <c r="AJ116" s="17">
        <f>IFERROR(IF(AJ$58&gt;='CBA Inputs'!$H40,MAX('CBA Inputs'!$E40-'CBA Inputs'!$E40/'CBA Inputs'!$I40*(AJ$58-'CBA Inputs'!$H40+1),0),0)*IF(AJ$58=FirstYear+AnalysisPeriod-1,1,0),0)*CapitalCost_ACTIVE*AJ$55</f>
        <v>0</v>
      </c>
      <c r="AM116" s="9" t="str">
        <f t="shared" si="35"/>
        <v/>
      </c>
      <c r="AN116" s="26">
        <f t="shared" si="35"/>
        <v>0</v>
      </c>
      <c r="AO116" s="26">
        <f t="shared" si="35"/>
        <v>0</v>
      </c>
      <c r="AP116" s="12" t="s">
        <v>35</v>
      </c>
      <c r="AQ116" s="18">
        <f t="shared" si="36"/>
        <v>0</v>
      </c>
      <c r="AR116" s="17">
        <f>IFERROR(IF(G$58&gt;='CBA Inputs'!$R40,MAX('CBA Inputs'!$O40-'CBA Inputs'!$O40/'CBA Inputs'!$S40*(G$58-'CBA Inputs'!$R40+1),0),0)*IF(G$58=FirstYear+AnalysisPeriod-1,1,0),0)*CapitalCost_ACTIVE*G$55*IF(Scenario_Select='CBA Inputs'!$T40,1,0)</f>
        <v>0</v>
      </c>
      <c r="AS116" s="17">
        <f>IFERROR(IF(H$58&gt;='CBA Inputs'!$R40,MAX('CBA Inputs'!$O40-'CBA Inputs'!$O40/'CBA Inputs'!$S40*(H$58-'CBA Inputs'!$R40+1),0),0)*IF(H$58=FirstYear+AnalysisPeriod-1,1,0),0)*CapitalCost_ACTIVE*H$55*IF(Scenario_Select='CBA Inputs'!$T40,1,0)</f>
        <v>0</v>
      </c>
      <c r="AT116" s="17">
        <f>IFERROR(IF(I$58&gt;='CBA Inputs'!$R40,MAX('CBA Inputs'!$O40-'CBA Inputs'!$O40/'CBA Inputs'!$S40*(I$58-'CBA Inputs'!$R40+1),0),0)*IF(I$58=FirstYear+AnalysisPeriod-1,1,0),0)*CapitalCost_ACTIVE*I$55*IF(Scenario_Select='CBA Inputs'!$T40,1,0)</f>
        <v>0</v>
      </c>
      <c r="AU116" s="17">
        <f>IFERROR(IF(J$58&gt;='CBA Inputs'!$R40,MAX('CBA Inputs'!$O40-'CBA Inputs'!$O40/'CBA Inputs'!$S40*(J$58-'CBA Inputs'!$R40+1),0),0)*IF(J$58=FirstYear+AnalysisPeriod-1,1,0),0)*CapitalCost_ACTIVE*J$55*IF(Scenario_Select='CBA Inputs'!$T40,1,0)</f>
        <v>0</v>
      </c>
      <c r="AV116" s="17">
        <f>IFERROR(IF(K$58&gt;='CBA Inputs'!$R40,MAX('CBA Inputs'!$O40-'CBA Inputs'!$O40/'CBA Inputs'!$S40*(K$58-'CBA Inputs'!$R40+1),0),0)*IF(K$58=FirstYear+AnalysisPeriod-1,1,0),0)*CapitalCost_ACTIVE*K$55*IF(Scenario_Select='CBA Inputs'!$T40,1,0)</f>
        <v>0</v>
      </c>
      <c r="AW116" s="17">
        <f>IFERROR(IF(L$58&gt;='CBA Inputs'!$R40,MAX('CBA Inputs'!$O40-'CBA Inputs'!$O40/'CBA Inputs'!$S40*(L$58-'CBA Inputs'!$R40+1),0),0)*IF(L$58=FirstYear+AnalysisPeriod-1,1,0),0)*CapitalCost_ACTIVE*L$55*IF(Scenario_Select='CBA Inputs'!$T40,1,0)</f>
        <v>0</v>
      </c>
      <c r="AX116" s="17">
        <f>IFERROR(IF(M$58&gt;='CBA Inputs'!$R40,MAX('CBA Inputs'!$O40-'CBA Inputs'!$O40/'CBA Inputs'!$S40*(M$58-'CBA Inputs'!$R40+1),0),0)*IF(M$58=FirstYear+AnalysisPeriod-1,1,0),0)*CapitalCost_ACTIVE*M$55*IF(Scenario_Select='CBA Inputs'!$T40,1,0)</f>
        <v>0</v>
      </c>
      <c r="AY116" s="17">
        <f>IFERROR(IF(N$58&gt;='CBA Inputs'!$R40,MAX('CBA Inputs'!$O40-'CBA Inputs'!$O40/'CBA Inputs'!$S40*(N$58-'CBA Inputs'!$R40+1),0),0)*IF(N$58=FirstYear+AnalysisPeriod-1,1,0),0)*CapitalCost_ACTIVE*N$55*IF(Scenario_Select='CBA Inputs'!$T40,1,0)</f>
        <v>0</v>
      </c>
      <c r="AZ116" s="17">
        <f>IFERROR(IF(O$58&gt;='CBA Inputs'!$R40,MAX('CBA Inputs'!$O40-'CBA Inputs'!$O40/'CBA Inputs'!$S40*(O$58-'CBA Inputs'!$R40+1),0),0)*IF(O$58=FirstYear+AnalysisPeriod-1,1,0),0)*CapitalCost_ACTIVE*O$55*IF(Scenario_Select='CBA Inputs'!$T40,1,0)</f>
        <v>0</v>
      </c>
      <c r="BA116" s="17">
        <f>IFERROR(IF(P$58&gt;='CBA Inputs'!$R40,MAX('CBA Inputs'!$O40-'CBA Inputs'!$O40/'CBA Inputs'!$S40*(P$58-'CBA Inputs'!$R40+1),0),0)*IF(P$58=FirstYear+AnalysisPeriod-1,1,0),0)*CapitalCost_ACTIVE*P$55*IF(Scenario_Select='CBA Inputs'!$T40,1,0)</f>
        <v>0</v>
      </c>
      <c r="BB116" s="17">
        <f>IFERROR(IF(Q$58&gt;='CBA Inputs'!$R40,MAX('CBA Inputs'!$O40-'CBA Inputs'!$O40/'CBA Inputs'!$S40*(Q$58-'CBA Inputs'!$R40+1),0),0)*IF(Q$58=FirstYear+AnalysisPeriod-1,1,0),0)*CapitalCost_ACTIVE*Q$55*IF(Scenario_Select='CBA Inputs'!$T40,1,0)</f>
        <v>0</v>
      </c>
      <c r="BC116" s="17">
        <f>IFERROR(IF(R$58&gt;='CBA Inputs'!$R40,MAX('CBA Inputs'!$O40-'CBA Inputs'!$O40/'CBA Inputs'!$S40*(R$58-'CBA Inputs'!$R40+1),0),0)*IF(R$58=FirstYear+AnalysisPeriod-1,1,0),0)*CapitalCost_ACTIVE*R$55*IF(Scenario_Select='CBA Inputs'!$T40,1,0)</f>
        <v>0</v>
      </c>
      <c r="BD116" s="17">
        <f>IFERROR(IF(S$58&gt;='CBA Inputs'!$R40,MAX('CBA Inputs'!$O40-'CBA Inputs'!$O40/'CBA Inputs'!$S40*(S$58-'CBA Inputs'!$R40+1),0),0)*IF(S$58=FirstYear+AnalysisPeriod-1,1,0),0)*CapitalCost_ACTIVE*S$55*IF(Scenario_Select='CBA Inputs'!$T40,1,0)</f>
        <v>0</v>
      </c>
      <c r="BE116" s="17">
        <f>IFERROR(IF(T$58&gt;='CBA Inputs'!$R40,MAX('CBA Inputs'!$O40-'CBA Inputs'!$O40/'CBA Inputs'!$S40*(T$58-'CBA Inputs'!$R40+1),0),0)*IF(T$58=FirstYear+AnalysisPeriod-1,1,0),0)*CapitalCost_ACTIVE*T$55*IF(Scenario_Select='CBA Inputs'!$T40,1,0)</f>
        <v>0</v>
      </c>
      <c r="BF116" s="17">
        <f>IFERROR(IF(U$58&gt;='CBA Inputs'!$R40,MAX('CBA Inputs'!$O40-'CBA Inputs'!$O40/'CBA Inputs'!$S40*(U$58-'CBA Inputs'!$R40+1),0),0)*IF(U$58=FirstYear+AnalysisPeriod-1,1,0),0)*CapitalCost_ACTIVE*U$55*IF(Scenario_Select='CBA Inputs'!$T40,1,0)</f>
        <v>0</v>
      </c>
      <c r="BG116" s="17">
        <f>IFERROR(IF(V$58&gt;='CBA Inputs'!$R40,MAX('CBA Inputs'!$O40-'CBA Inputs'!$O40/'CBA Inputs'!$S40*(V$58-'CBA Inputs'!$R40+1),0),0)*IF(V$58=FirstYear+AnalysisPeriod-1,1,0),0)*CapitalCost_ACTIVE*V$55*IF(Scenario_Select='CBA Inputs'!$T40,1,0)</f>
        <v>0</v>
      </c>
      <c r="BH116" s="17">
        <f>IFERROR(IF(W$58&gt;='CBA Inputs'!$R40,MAX('CBA Inputs'!$O40-'CBA Inputs'!$O40/'CBA Inputs'!$S40*(W$58-'CBA Inputs'!$R40+1),0),0)*IF(W$58=FirstYear+AnalysisPeriod-1,1,0),0)*CapitalCost_ACTIVE*W$55*IF(Scenario_Select='CBA Inputs'!$T40,1,0)</f>
        <v>0</v>
      </c>
      <c r="BI116" s="17">
        <f>IFERROR(IF(X$58&gt;='CBA Inputs'!$R40,MAX('CBA Inputs'!$O40-'CBA Inputs'!$O40/'CBA Inputs'!$S40*(X$58-'CBA Inputs'!$R40+1),0),0)*IF(X$58=FirstYear+AnalysisPeriod-1,1,0),0)*CapitalCost_ACTIVE*X$55*IF(Scenario_Select='CBA Inputs'!$T40,1,0)</f>
        <v>0</v>
      </c>
      <c r="BJ116" s="17">
        <f>IFERROR(IF(Y$58&gt;='CBA Inputs'!$R40,MAX('CBA Inputs'!$O40-'CBA Inputs'!$O40/'CBA Inputs'!$S40*(Y$58-'CBA Inputs'!$R40+1),0),0)*IF(Y$58=FirstYear+AnalysisPeriod-1,1,0),0)*CapitalCost_ACTIVE*Y$55*IF(Scenario_Select='CBA Inputs'!$T40,1,0)</f>
        <v>0</v>
      </c>
      <c r="BK116" s="17">
        <f>IFERROR(IF(Z$58&gt;='CBA Inputs'!$R40,MAX('CBA Inputs'!$O40-'CBA Inputs'!$O40/'CBA Inputs'!$S40*(Z$58-'CBA Inputs'!$R40+1),0),0)*IF(Z$58=FirstYear+AnalysisPeriod-1,1,0),0)*CapitalCost_ACTIVE*Z$55*IF(Scenario_Select='CBA Inputs'!$T40,1,0)</f>
        <v>0</v>
      </c>
      <c r="BL116" s="17">
        <f>IFERROR(IF(AA$58&gt;='CBA Inputs'!$R40,MAX('CBA Inputs'!$O40-'CBA Inputs'!$O40/'CBA Inputs'!$S40*(AA$58-'CBA Inputs'!$R40+1),0),0)*IF(AA$58=FirstYear+AnalysisPeriod-1,1,0),0)*CapitalCost_ACTIVE*AA$55*IF(Scenario_Select='CBA Inputs'!$T40,1,0)</f>
        <v>0</v>
      </c>
      <c r="BM116" s="17">
        <f>IFERROR(IF(AB$58&gt;='CBA Inputs'!$R40,MAX('CBA Inputs'!$O40-'CBA Inputs'!$O40/'CBA Inputs'!$S40*(AB$58-'CBA Inputs'!$R40+1),0),0)*IF(AB$58=FirstYear+AnalysisPeriod-1,1,0),0)*CapitalCost_ACTIVE*AB$55*IF(Scenario_Select='CBA Inputs'!$T40,1,0)</f>
        <v>0</v>
      </c>
      <c r="BN116" s="17">
        <f>IFERROR(IF(AC$58&gt;='CBA Inputs'!$R40,MAX('CBA Inputs'!$O40-'CBA Inputs'!$O40/'CBA Inputs'!$S40*(AC$58-'CBA Inputs'!$R40+1),0),0)*IF(AC$58=FirstYear+AnalysisPeriod-1,1,0),0)*CapitalCost_ACTIVE*AC$55*IF(Scenario_Select='CBA Inputs'!$T40,1,0)</f>
        <v>0</v>
      </c>
      <c r="BO116" s="17">
        <f>IFERROR(IF(AD$58&gt;='CBA Inputs'!$R40,MAX('CBA Inputs'!$O40-'CBA Inputs'!$O40/'CBA Inputs'!$S40*(AD$58-'CBA Inputs'!$R40+1),0),0)*IF(AD$58=FirstYear+AnalysisPeriod-1,1,0),0)*CapitalCost_ACTIVE*AD$55*IF(Scenario_Select='CBA Inputs'!$T40,1,0)</f>
        <v>0</v>
      </c>
      <c r="BP116" s="17">
        <f>IFERROR(IF(AE$58&gt;='CBA Inputs'!$R40,MAX('CBA Inputs'!$O40-'CBA Inputs'!$O40/'CBA Inputs'!$S40*(AE$58-'CBA Inputs'!$R40+1),0),0)*IF(AE$58=FirstYear+AnalysisPeriod-1,1,0),0)*CapitalCost_ACTIVE*AE$55*IF(Scenario_Select='CBA Inputs'!$T40,1,0)</f>
        <v>0</v>
      </c>
      <c r="BQ116" s="17">
        <f>IFERROR(IF(AF$58&gt;='CBA Inputs'!$R40,MAX('CBA Inputs'!$O40-'CBA Inputs'!$O40/'CBA Inputs'!$S40*(AF$58-'CBA Inputs'!$R40+1),0),0)*IF(AF$58=FirstYear+AnalysisPeriod-1,1,0),0)*CapitalCost_ACTIVE*AF$55*IF(Scenario_Select='CBA Inputs'!$T40,1,0)</f>
        <v>0</v>
      </c>
      <c r="BR116" s="17">
        <f>IFERROR(IF(AG$58&gt;='CBA Inputs'!$R40,MAX('CBA Inputs'!$O40-'CBA Inputs'!$O40/'CBA Inputs'!$S40*(AG$58-'CBA Inputs'!$R40+1),0),0)*IF(AG$58=FirstYear+AnalysisPeriod-1,1,0),0)*CapitalCost_ACTIVE*AG$55*IF(Scenario_Select='CBA Inputs'!$T40,1,0)</f>
        <v>0</v>
      </c>
      <c r="BS116" s="17">
        <f>IFERROR(IF(AH$58&gt;='CBA Inputs'!$R40,MAX('CBA Inputs'!$O40-'CBA Inputs'!$O40/'CBA Inputs'!$S40*(AH$58-'CBA Inputs'!$R40+1),0),0)*IF(AH$58=FirstYear+AnalysisPeriod-1,1,0),0)*CapitalCost_ACTIVE*AH$55*IF(Scenario_Select='CBA Inputs'!$T40,1,0)</f>
        <v>0</v>
      </c>
      <c r="BT116" s="17">
        <f>IFERROR(IF(AI$58&gt;='CBA Inputs'!$R40,MAX('CBA Inputs'!$O40-'CBA Inputs'!$O40/'CBA Inputs'!$S40*(AI$58-'CBA Inputs'!$R40+1),0),0)*IF(AI$58=FirstYear+AnalysisPeriod-1,1,0),0)*CapitalCost_ACTIVE*AI$55*IF(Scenario_Select='CBA Inputs'!$T40,1,0)</f>
        <v>0</v>
      </c>
      <c r="BU116" s="17">
        <f>IFERROR(IF(AJ$58&gt;='CBA Inputs'!$R40,MAX('CBA Inputs'!$O40-'CBA Inputs'!$O40/'CBA Inputs'!$S40*(AJ$58-'CBA Inputs'!$R40+1),0),0)*IF(AJ$58=FirstYear+AnalysisPeriod-1,1,0),0)*CapitalCost_ACTIVE*AJ$55*IF(Scenario_Select='CBA Inputs'!$T40,1,0)</f>
        <v>0</v>
      </c>
    </row>
    <row r="117" spans="2:73" x14ac:dyDescent="0.35">
      <c r="B117" s="9">
        <f t="shared" si="30"/>
        <v>10</v>
      </c>
      <c r="C117" s="26" t="str">
        <f t="shared" si="30"/>
        <v>Option 4A</v>
      </c>
      <c r="D117" s="26" t="str">
        <f t="shared" si="33"/>
        <v>Substation</v>
      </c>
      <c r="E117" s="12" t="s">
        <v>35</v>
      </c>
      <c r="F117" s="18">
        <f t="shared" si="34"/>
        <v>1192809.259126822</v>
      </c>
      <c r="G117" s="17">
        <f>IFERROR(IF(G$58&gt;='CBA Inputs'!$H41,MAX('CBA Inputs'!$E41-'CBA Inputs'!$E41/'CBA Inputs'!$I41*(G$58-'CBA Inputs'!$H41+1),0),0)*IF(G$58=FirstYear+AnalysisPeriod-1,1,0),0)*CapitalCost_ACTIVE*G$55</f>
        <v>0</v>
      </c>
      <c r="H117" s="17">
        <f>IFERROR(IF(H$58&gt;='CBA Inputs'!$H41,MAX('CBA Inputs'!$E41-'CBA Inputs'!$E41/'CBA Inputs'!$I41*(H$58-'CBA Inputs'!$H41+1),0),0)*IF(H$58=FirstYear+AnalysisPeriod-1,1,0),0)*CapitalCost_ACTIVE*H$55</f>
        <v>0</v>
      </c>
      <c r="I117" s="17">
        <f>IFERROR(IF(I$58&gt;='CBA Inputs'!$H41,MAX('CBA Inputs'!$E41-'CBA Inputs'!$E41/'CBA Inputs'!$I41*(I$58-'CBA Inputs'!$H41+1),0),0)*IF(I$58=FirstYear+AnalysisPeriod-1,1,0),0)*CapitalCost_ACTIVE*I$55</f>
        <v>0</v>
      </c>
      <c r="J117" s="17">
        <f>IFERROR(IF(J$58&gt;='CBA Inputs'!$H41,MAX('CBA Inputs'!$E41-'CBA Inputs'!$E41/'CBA Inputs'!$I41*(J$58-'CBA Inputs'!$H41+1),0),0)*IF(J$58=FirstYear+AnalysisPeriod-1,1,0),0)*CapitalCost_ACTIVE*J$55</f>
        <v>0</v>
      </c>
      <c r="K117" s="17">
        <f>IFERROR(IF(K$58&gt;='CBA Inputs'!$H41,MAX('CBA Inputs'!$E41-'CBA Inputs'!$E41/'CBA Inputs'!$I41*(K$58-'CBA Inputs'!$H41+1),0),0)*IF(K$58=FirstYear+AnalysisPeriod-1,1,0),0)*CapitalCost_ACTIVE*K$55</f>
        <v>0</v>
      </c>
      <c r="L117" s="17">
        <f>IFERROR(IF(L$58&gt;='CBA Inputs'!$H41,MAX('CBA Inputs'!$E41-'CBA Inputs'!$E41/'CBA Inputs'!$I41*(L$58-'CBA Inputs'!$H41+1),0),0)*IF(L$58=FirstYear+AnalysisPeriod-1,1,0),0)*CapitalCost_ACTIVE*L$55</f>
        <v>0</v>
      </c>
      <c r="M117" s="17">
        <f>IFERROR(IF(M$58&gt;='CBA Inputs'!$H41,MAX('CBA Inputs'!$E41-'CBA Inputs'!$E41/'CBA Inputs'!$I41*(M$58-'CBA Inputs'!$H41+1),0),0)*IF(M$58=FirstYear+AnalysisPeriod-1,1,0),0)*CapitalCost_ACTIVE*M$55</f>
        <v>0</v>
      </c>
      <c r="N117" s="17">
        <f>IFERROR(IF(N$58&gt;='CBA Inputs'!$H41,MAX('CBA Inputs'!$E41-'CBA Inputs'!$E41/'CBA Inputs'!$I41*(N$58-'CBA Inputs'!$H41+1),0),0)*IF(N$58=FirstYear+AnalysisPeriod-1,1,0),0)*CapitalCost_ACTIVE*N$55</f>
        <v>0</v>
      </c>
      <c r="O117" s="17">
        <f>IFERROR(IF(O$58&gt;='CBA Inputs'!$H41,MAX('CBA Inputs'!$E41-'CBA Inputs'!$E41/'CBA Inputs'!$I41*(O$58-'CBA Inputs'!$H41+1),0),0)*IF(O$58=FirstYear+AnalysisPeriod-1,1,0),0)*CapitalCost_ACTIVE*O$55</f>
        <v>0</v>
      </c>
      <c r="P117" s="17">
        <f>IFERROR(IF(P$58&gt;='CBA Inputs'!$H41,MAX('CBA Inputs'!$E41-'CBA Inputs'!$E41/'CBA Inputs'!$I41*(P$58-'CBA Inputs'!$H41+1),0),0)*IF(P$58=FirstYear+AnalysisPeriod-1,1,0),0)*CapitalCost_ACTIVE*P$55</f>
        <v>0</v>
      </c>
      <c r="Q117" s="17">
        <f>IFERROR(IF(Q$58&gt;='CBA Inputs'!$H41,MAX('CBA Inputs'!$E41-'CBA Inputs'!$E41/'CBA Inputs'!$I41*(Q$58-'CBA Inputs'!$H41+1),0),0)*IF(Q$58=FirstYear+AnalysisPeriod-1,1,0),0)*CapitalCost_ACTIVE*Q$55</f>
        <v>0</v>
      </c>
      <c r="R117" s="17">
        <f>IFERROR(IF(R$58&gt;='CBA Inputs'!$H41,MAX('CBA Inputs'!$E41-'CBA Inputs'!$E41/'CBA Inputs'!$I41*(R$58-'CBA Inputs'!$H41+1),0),0)*IF(R$58=FirstYear+AnalysisPeriod-1,1,0),0)*CapitalCost_ACTIVE*R$55</f>
        <v>0</v>
      </c>
      <c r="S117" s="17">
        <f>IFERROR(IF(S$58&gt;='CBA Inputs'!$H41,MAX('CBA Inputs'!$E41-'CBA Inputs'!$E41/'CBA Inputs'!$I41*(S$58-'CBA Inputs'!$H41+1),0),0)*IF(S$58=FirstYear+AnalysisPeriod-1,1,0),0)*CapitalCost_ACTIVE*S$55</f>
        <v>0</v>
      </c>
      <c r="T117" s="17">
        <f>IFERROR(IF(T$58&gt;='CBA Inputs'!$H41,MAX('CBA Inputs'!$E41-'CBA Inputs'!$E41/'CBA Inputs'!$I41*(T$58-'CBA Inputs'!$H41+1),0),0)*IF(T$58=FirstYear+AnalysisPeriod-1,1,0),0)*CapitalCost_ACTIVE*T$55</f>
        <v>0</v>
      </c>
      <c r="U117" s="17">
        <f>IFERROR(IF(U$58&gt;='CBA Inputs'!$H41,MAX('CBA Inputs'!$E41-'CBA Inputs'!$E41/'CBA Inputs'!$I41*(U$58-'CBA Inputs'!$H41+1),0),0)*IF(U$58=FirstYear+AnalysisPeriod-1,1,0),0)*CapitalCost_ACTIVE*U$55</f>
        <v>0</v>
      </c>
      <c r="V117" s="17">
        <f>IFERROR(IF(V$58&gt;='CBA Inputs'!$H41,MAX('CBA Inputs'!$E41-'CBA Inputs'!$E41/'CBA Inputs'!$I41*(V$58-'CBA Inputs'!$H41+1),0),0)*IF(V$58=FirstYear+AnalysisPeriod-1,1,0),0)*CapitalCost_ACTIVE*V$55</f>
        <v>0</v>
      </c>
      <c r="W117" s="17">
        <f>IFERROR(IF(W$58&gt;='CBA Inputs'!$H41,MAX('CBA Inputs'!$E41-'CBA Inputs'!$E41/'CBA Inputs'!$I41*(W$58-'CBA Inputs'!$H41+1),0),0)*IF(W$58=FirstYear+AnalysisPeriod-1,1,0),0)*CapitalCost_ACTIVE*W$55</f>
        <v>0</v>
      </c>
      <c r="X117" s="17">
        <f>IFERROR(IF(X$58&gt;='CBA Inputs'!$H41,MAX('CBA Inputs'!$E41-'CBA Inputs'!$E41/'CBA Inputs'!$I41*(X$58-'CBA Inputs'!$H41+1),0),0)*IF(X$58=FirstYear+AnalysisPeriod-1,1,0),0)*CapitalCost_ACTIVE*X$55</f>
        <v>0</v>
      </c>
      <c r="Y117" s="17">
        <f>IFERROR(IF(Y$58&gt;='CBA Inputs'!$H41,MAX('CBA Inputs'!$E41-'CBA Inputs'!$E41/'CBA Inputs'!$I41*(Y$58-'CBA Inputs'!$H41+1),0),0)*IF(Y$58=FirstYear+AnalysisPeriod-1,1,0),0)*CapitalCost_ACTIVE*Y$55</f>
        <v>0</v>
      </c>
      <c r="Z117" s="17">
        <f>IFERROR(IF(Z$58&gt;='CBA Inputs'!$H41,MAX('CBA Inputs'!$E41-'CBA Inputs'!$E41/'CBA Inputs'!$I41*(Z$58-'CBA Inputs'!$H41+1),0),0)*IF(Z$58=FirstYear+AnalysisPeriod-1,1,0),0)*CapitalCost_ACTIVE*Z$55</f>
        <v>0</v>
      </c>
      <c r="AA117" s="17">
        <f>IFERROR(IF(AA$58&gt;='CBA Inputs'!$H41,MAX('CBA Inputs'!$E41-'CBA Inputs'!$E41/'CBA Inputs'!$I41*(AA$58-'CBA Inputs'!$H41+1),0),0)*IF(AA$58=FirstYear+AnalysisPeriod-1,1,0),0)*CapitalCost_ACTIVE*AA$55</f>
        <v>0</v>
      </c>
      <c r="AB117" s="17">
        <f>IFERROR(IF(AB$58&gt;='CBA Inputs'!$H41,MAX('CBA Inputs'!$E41-'CBA Inputs'!$E41/'CBA Inputs'!$I41*(AB$58-'CBA Inputs'!$H41+1),0),0)*IF(AB$58=FirstYear+AnalysisPeriod-1,1,0),0)*CapitalCost_ACTIVE*AB$55</f>
        <v>0</v>
      </c>
      <c r="AC117" s="17">
        <f>IFERROR(IF(AC$58&gt;='CBA Inputs'!$H41,MAX('CBA Inputs'!$E41-'CBA Inputs'!$E41/'CBA Inputs'!$I41*(AC$58-'CBA Inputs'!$H41+1),0),0)*IF(AC$58=FirstYear+AnalysisPeriod-1,1,0),0)*CapitalCost_ACTIVE*AC$55</f>
        <v>0</v>
      </c>
      <c r="AD117" s="17">
        <f>IFERROR(IF(AD$58&gt;='CBA Inputs'!$H41,MAX('CBA Inputs'!$E41-'CBA Inputs'!$E41/'CBA Inputs'!$I41*(AD$58-'CBA Inputs'!$H41+1),0),0)*IF(AD$58=FirstYear+AnalysisPeriod-1,1,0),0)*CapitalCost_ACTIVE*AD$55</f>
        <v>0</v>
      </c>
      <c r="AE117" s="17">
        <f>IFERROR(IF(AE$58&gt;='CBA Inputs'!$H41,MAX('CBA Inputs'!$E41-'CBA Inputs'!$E41/'CBA Inputs'!$I41*(AE$58-'CBA Inputs'!$H41+1),0),0)*IF(AE$58=FirstYear+AnalysisPeriod-1,1,0),0)*CapitalCost_ACTIVE*AE$55</f>
        <v>0</v>
      </c>
      <c r="AF117" s="17">
        <f>IFERROR(IF(AF$58&gt;='CBA Inputs'!$H41,MAX('CBA Inputs'!$E41-'CBA Inputs'!$E41/'CBA Inputs'!$I41*(AF$58-'CBA Inputs'!$H41+1),0),0)*IF(AF$58=FirstYear+AnalysisPeriod-1,1,0),0)*CapitalCost_ACTIVE*AF$55</f>
        <v>5000000</v>
      </c>
      <c r="AG117" s="17">
        <f>IFERROR(IF(AG$58&gt;='CBA Inputs'!$H41,MAX('CBA Inputs'!$E41-'CBA Inputs'!$E41/'CBA Inputs'!$I41*(AG$58-'CBA Inputs'!$H41+1),0),0)*IF(AG$58=FirstYear+AnalysisPeriod-1,1,0),0)*CapitalCost_ACTIVE*AG$55</f>
        <v>0</v>
      </c>
      <c r="AH117" s="17">
        <f>IFERROR(IF(AH$58&gt;='CBA Inputs'!$H41,MAX('CBA Inputs'!$E41-'CBA Inputs'!$E41/'CBA Inputs'!$I41*(AH$58-'CBA Inputs'!$H41+1),0),0)*IF(AH$58=FirstYear+AnalysisPeriod-1,1,0),0)*CapitalCost_ACTIVE*AH$55</f>
        <v>0</v>
      </c>
      <c r="AI117" s="17">
        <f>IFERROR(IF(AI$58&gt;='CBA Inputs'!$H41,MAX('CBA Inputs'!$E41-'CBA Inputs'!$E41/'CBA Inputs'!$I41*(AI$58-'CBA Inputs'!$H41+1),0),0)*IF(AI$58=FirstYear+AnalysisPeriod-1,1,0),0)*CapitalCost_ACTIVE*AI$55</f>
        <v>0</v>
      </c>
      <c r="AJ117" s="17">
        <f>IFERROR(IF(AJ$58&gt;='CBA Inputs'!$H41,MAX('CBA Inputs'!$E41-'CBA Inputs'!$E41/'CBA Inputs'!$I41*(AJ$58-'CBA Inputs'!$H41+1),0),0)*IF(AJ$58=FirstYear+AnalysisPeriod-1,1,0),0)*CapitalCost_ACTIVE*AJ$55</f>
        <v>0</v>
      </c>
      <c r="AM117" s="9" t="str">
        <f t="shared" si="35"/>
        <v/>
      </c>
      <c r="AN117" s="26">
        <f t="shared" si="35"/>
        <v>0</v>
      </c>
      <c r="AO117" s="26">
        <f t="shared" si="35"/>
        <v>0</v>
      </c>
      <c r="AP117" s="12" t="s">
        <v>35</v>
      </c>
      <c r="AQ117" s="18">
        <f t="shared" si="36"/>
        <v>0</v>
      </c>
      <c r="AR117" s="17">
        <f>IFERROR(IF(G$58&gt;='CBA Inputs'!$R41,MAX('CBA Inputs'!$O41-'CBA Inputs'!$O41/'CBA Inputs'!$S41*(G$58-'CBA Inputs'!$R41+1),0),0)*IF(G$58=FirstYear+AnalysisPeriod-1,1,0),0)*CapitalCost_ACTIVE*G$55*IF(Scenario_Select='CBA Inputs'!$T41,1,0)</f>
        <v>0</v>
      </c>
      <c r="AS117" s="17">
        <f>IFERROR(IF(H$58&gt;='CBA Inputs'!$R41,MAX('CBA Inputs'!$O41-'CBA Inputs'!$O41/'CBA Inputs'!$S41*(H$58-'CBA Inputs'!$R41+1),0),0)*IF(H$58=FirstYear+AnalysisPeriod-1,1,0),0)*CapitalCost_ACTIVE*H$55*IF(Scenario_Select='CBA Inputs'!$T41,1,0)</f>
        <v>0</v>
      </c>
      <c r="AT117" s="17">
        <f>IFERROR(IF(I$58&gt;='CBA Inputs'!$R41,MAX('CBA Inputs'!$O41-'CBA Inputs'!$O41/'CBA Inputs'!$S41*(I$58-'CBA Inputs'!$R41+1),0),0)*IF(I$58=FirstYear+AnalysisPeriod-1,1,0),0)*CapitalCost_ACTIVE*I$55*IF(Scenario_Select='CBA Inputs'!$T41,1,0)</f>
        <v>0</v>
      </c>
      <c r="AU117" s="17">
        <f>IFERROR(IF(J$58&gt;='CBA Inputs'!$R41,MAX('CBA Inputs'!$O41-'CBA Inputs'!$O41/'CBA Inputs'!$S41*(J$58-'CBA Inputs'!$R41+1),0),0)*IF(J$58=FirstYear+AnalysisPeriod-1,1,0),0)*CapitalCost_ACTIVE*J$55*IF(Scenario_Select='CBA Inputs'!$T41,1,0)</f>
        <v>0</v>
      </c>
      <c r="AV117" s="17">
        <f>IFERROR(IF(K$58&gt;='CBA Inputs'!$R41,MAX('CBA Inputs'!$O41-'CBA Inputs'!$O41/'CBA Inputs'!$S41*(K$58-'CBA Inputs'!$R41+1),0),0)*IF(K$58=FirstYear+AnalysisPeriod-1,1,0),0)*CapitalCost_ACTIVE*K$55*IF(Scenario_Select='CBA Inputs'!$T41,1,0)</f>
        <v>0</v>
      </c>
      <c r="AW117" s="17">
        <f>IFERROR(IF(L$58&gt;='CBA Inputs'!$R41,MAX('CBA Inputs'!$O41-'CBA Inputs'!$O41/'CBA Inputs'!$S41*(L$58-'CBA Inputs'!$R41+1),0),0)*IF(L$58=FirstYear+AnalysisPeriod-1,1,0),0)*CapitalCost_ACTIVE*L$55*IF(Scenario_Select='CBA Inputs'!$T41,1,0)</f>
        <v>0</v>
      </c>
      <c r="AX117" s="17">
        <f>IFERROR(IF(M$58&gt;='CBA Inputs'!$R41,MAX('CBA Inputs'!$O41-'CBA Inputs'!$O41/'CBA Inputs'!$S41*(M$58-'CBA Inputs'!$R41+1),0),0)*IF(M$58=FirstYear+AnalysisPeriod-1,1,0),0)*CapitalCost_ACTIVE*M$55*IF(Scenario_Select='CBA Inputs'!$T41,1,0)</f>
        <v>0</v>
      </c>
      <c r="AY117" s="17">
        <f>IFERROR(IF(N$58&gt;='CBA Inputs'!$R41,MAX('CBA Inputs'!$O41-'CBA Inputs'!$O41/'CBA Inputs'!$S41*(N$58-'CBA Inputs'!$R41+1),0),0)*IF(N$58=FirstYear+AnalysisPeriod-1,1,0),0)*CapitalCost_ACTIVE*N$55*IF(Scenario_Select='CBA Inputs'!$T41,1,0)</f>
        <v>0</v>
      </c>
      <c r="AZ117" s="17">
        <f>IFERROR(IF(O$58&gt;='CBA Inputs'!$R41,MAX('CBA Inputs'!$O41-'CBA Inputs'!$O41/'CBA Inputs'!$S41*(O$58-'CBA Inputs'!$R41+1),0),0)*IF(O$58=FirstYear+AnalysisPeriod-1,1,0),0)*CapitalCost_ACTIVE*O$55*IF(Scenario_Select='CBA Inputs'!$T41,1,0)</f>
        <v>0</v>
      </c>
      <c r="BA117" s="17">
        <f>IFERROR(IF(P$58&gt;='CBA Inputs'!$R41,MAX('CBA Inputs'!$O41-'CBA Inputs'!$O41/'CBA Inputs'!$S41*(P$58-'CBA Inputs'!$R41+1),0),0)*IF(P$58=FirstYear+AnalysisPeriod-1,1,0),0)*CapitalCost_ACTIVE*P$55*IF(Scenario_Select='CBA Inputs'!$T41,1,0)</f>
        <v>0</v>
      </c>
      <c r="BB117" s="17">
        <f>IFERROR(IF(Q$58&gt;='CBA Inputs'!$R41,MAX('CBA Inputs'!$O41-'CBA Inputs'!$O41/'CBA Inputs'!$S41*(Q$58-'CBA Inputs'!$R41+1),0),0)*IF(Q$58=FirstYear+AnalysisPeriod-1,1,0),0)*CapitalCost_ACTIVE*Q$55*IF(Scenario_Select='CBA Inputs'!$T41,1,0)</f>
        <v>0</v>
      </c>
      <c r="BC117" s="17">
        <f>IFERROR(IF(R$58&gt;='CBA Inputs'!$R41,MAX('CBA Inputs'!$O41-'CBA Inputs'!$O41/'CBA Inputs'!$S41*(R$58-'CBA Inputs'!$R41+1),0),0)*IF(R$58=FirstYear+AnalysisPeriod-1,1,0),0)*CapitalCost_ACTIVE*R$55*IF(Scenario_Select='CBA Inputs'!$T41,1,0)</f>
        <v>0</v>
      </c>
      <c r="BD117" s="17">
        <f>IFERROR(IF(S$58&gt;='CBA Inputs'!$R41,MAX('CBA Inputs'!$O41-'CBA Inputs'!$O41/'CBA Inputs'!$S41*(S$58-'CBA Inputs'!$R41+1),0),0)*IF(S$58=FirstYear+AnalysisPeriod-1,1,0),0)*CapitalCost_ACTIVE*S$55*IF(Scenario_Select='CBA Inputs'!$T41,1,0)</f>
        <v>0</v>
      </c>
      <c r="BE117" s="17">
        <f>IFERROR(IF(T$58&gt;='CBA Inputs'!$R41,MAX('CBA Inputs'!$O41-'CBA Inputs'!$O41/'CBA Inputs'!$S41*(T$58-'CBA Inputs'!$R41+1),0),0)*IF(T$58=FirstYear+AnalysisPeriod-1,1,0),0)*CapitalCost_ACTIVE*T$55*IF(Scenario_Select='CBA Inputs'!$T41,1,0)</f>
        <v>0</v>
      </c>
      <c r="BF117" s="17">
        <f>IFERROR(IF(U$58&gt;='CBA Inputs'!$R41,MAX('CBA Inputs'!$O41-'CBA Inputs'!$O41/'CBA Inputs'!$S41*(U$58-'CBA Inputs'!$R41+1),0),0)*IF(U$58=FirstYear+AnalysisPeriod-1,1,0),0)*CapitalCost_ACTIVE*U$55*IF(Scenario_Select='CBA Inputs'!$T41,1,0)</f>
        <v>0</v>
      </c>
      <c r="BG117" s="17">
        <f>IFERROR(IF(V$58&gt;='CBA Inputs'!$R41,MAX('CBA Inputs'!$O41-'CBA Inputs'!$O41/'CBA Inputs'!$S41*(V$58-'CBA Inputs'!$R41+1),0),0)*IF(V$58=FirstYear+AnalysisPeriod-1,1,0),0)*CapitalCost_ACTIVE*V$55*IF(Scenario_Select='CBA Inputs'!$T41,1,0)</f>
        <v>0</v>
      </c>
      <c r="BH117" s="17">
        <f>IFERROR(IF(W$58&gt;='CBA Inputs'!$R41,MAX('CBA Inputs'!$O41-'CBA Inputs'!$O41/'CBA Inputs'!$S41*(W$58-'CBA Inputs'!$R41+1),0),0)*IF(W$58=FirstYear+AnalysisPeriod-1,1,0),0)*CapitalCost_ACTIVE*W$55*IF(Scenario_Select='CBA Inputs'!$T41,1,0)</f>
        <v>0</v>
      </c>
      <c r="BI117" s="17">
        <f>IFERROR(IF(X$58&gt;='CBA Inputs'!$R41,MAX('CBA Inputs'!$O41-'CBA Inputs'!$O41/'CBA Inputs'!$S41*(X$58-'CBA Inputs'!$R41+1),0),0)*IF(X$58=FirstYear+AnalysisPeriod-1,1,0),0)*CapitalCost_ACTIVE*X$55*IF(Scenario_Select='CBA Inputs'!$T41,1,0)</f>
        <v>0</v>
      </c>
      <c r="BJ117" s="17">
        <f>IFERROR(IF(Y$58&gt;='CBA Inputs'!$R41,MAX('CBA Inputs'!$O41-'CBA Inputs'!$O41/'CBA Inputs'!$S41*(Y$58-'CBA Inputs'!$R41+1),0),0)*IF(Y$58=FirstYear+AnalysisPeriod-1,1,0),0)*CapitalCost_ACTIVE*Y$55*IF(Scenario_Select='CBA Inputs'!$T41,1,0)</f>
        <v>0</v>
      </c>
      <c r="BK117" s="17">
        <f>IFERROR(IF(Z$58&gt;='CBA Inputs'!$R41,MAX('CBA Inputs'!$O41-'CBA Inputs'!$O41/'CBA Inputs'!$S41*(Z$58-'CBA Inputs'!$R41+1),0),0)*IF(Z$58=FirstYear+AnalysisPeriod-1,1,0),0)*CapitalCost_ACTIVE*Z$55*IF(Scenario_Select='CBA Inputs'!$T41,1,0)</f>
        <v>0</v>
      </c>
      <c r="BL117" s="17">
        <f>IFERROR(IF(AA$58&gt;='CBA Inputs'!$R41,MAX('CBA Inputs'!$O41-'CBA Inputs'!$O41/'CBA Inputs'!$S41*(AA$58-'CBA Inputs'!$R41+1),0),0)*IF(AA$58=FirstYear+AnalysisPeriod-1,1,0),0)*CapitalCost_ACTIVE*AA$55*IF(Scenario_Select='CBA Inputs'!$T41,1,0)</f>
        <v>0</v>
      </c>
      <c r="BM117" s="17">
        <f>IFERROR(IF(AB$58&gt;='CBA Inputs'!$R41,MAX('CBA Inputs'!$O41-'CBA Inputs'!$O41/'CBA Inputs'!$S41*(AB$58-'CBA Inputs'!$R41+1),0),0)*IF(AB$58=FirstYear+AnalysisPeriod-1,1,0),0)*CapitalCost_ACTIVE*AB$55*IF(Scenario_Select='CBA Inputs'!$T41,1,0)</f>
        <v>0</v>
      </c>
      <c r="BN117" s="17">
        <f>IFERROR(IF(AC$58&gt;='CBA Inputs'!$R41,MAX('CBA Inputs'!$O41-'CBA Inputs'!$O41/'CBA Inputs'!$S41*(AC$58-'CBA Inputs'!$R41+1),0),0)*IF(AC$58=FirstYear+AnalysisPeriod-1,1,0),0)*CapitalCost_ACTIVE*AC$55*IF(Scenario_Select='CBA Inputs'!$T41,1,0)</f>
        <v>0</v>
      </c>
      <c r="BO117" s="17">
        <f>IFERROR(IF(AD$58&gt;='CBA Inputs'!$R41,MAX('CBA Inputs'!$O41-'CBA Inputs'!$O41/'CBA Inputs'!$S41*(AD$58-'CBA Inputs'!$R41+1),0),0)*IF(AD$58=FirstYear+AnalysisPeriod-1,1,0),0)*CapitalCost_ACTIVE*AD$55*IF(Scenario_Select='CBA Inputs'!$T41,1,0)</f>
        <v>0</v>
      </c>
      <c r="BP117" s="17">
        <f>IFERROR(IF(AE$58&gt;='CBA Inputs'!$R41,MAX('CBA Inputs'!$O41-'CBA Inputs'!$O41/'CBA Inputs'!$S41*(AE$58-'CBA Inputs'!$R41+1),0),0)*IF(AE$58=FirstYear+AnalysisPeriod-1,1,0),0)*CapitalCost_ACTIVE*AE$55*IF(Scenario_Select='CBA Inputs'!$T41,1,0)</f>
        <v>0</v>
      </c>
      <c r="BQ117" s="17">
        <f>IFERROR(IF(AF$58&gt;='CBA Inputs'!$R41,MAX('CBA Inputs'!$O41-'CBA Inputs'!$O41/'CBA Inputs'!$S41*(AF$58-'CBA Inputs'!$R41+1),0),0)*IF(AF$58=FirstYear+AnalysisPeriod-1,1,0),0)*CapitalCost_ACTIVE*AF$55*IF(Scenario_Select='CBA Inputs'!$T41,1,0)</f>
        <v>0</v>
      </c>
      <c r="BR117" s="17">
        <f>IFERROR(IF(AG$58&gt;='CBA Inputs'!$R41,MAX('CBA Inputs'!$O41-'CBA Inputs'!$O41/'CBA Inputs'!$S41*(AG$58-'CBA Inputs'!$R41+1),0),0)*IF(AG$58=FirstYear+AnalysisPeriod-1,1,0),0)*CapitalCost_ACTIVE*AG$55*IF(Scenario_Select='CBA Inputs'!$T41,1,0)</f>
        <v>0</v>
      </c>
      <c r="BS117" s="17">
        <f>IFERROR(IF(AH$58&gt;='CBA Inputs'!$R41,MAX('CBA Inputs'!$O41-'CBA Inputs'!$O41/'CBA Inputs'!$S41*(AH$58-'CBA Inputs'!$R41+1),0),0)*IF(AH$58=FirstYear+AnalysisPeriod-1,1,0),0)*CapitalCost_ACTIVE*AH$55*IF(Scenario_Select='CBA Inputs'!$T41,1,0)</f>
        <v>0</v>
      </c>
      <c r="BT117" s="17">
        <f>IFERROR(IF(AI$58&gt;='CBA Inputs'!$R41,MAX('CBA Inputs'!$O41-'CBA Inputs'!$O41/'CBA Inputs'!$S41*(AI$58-'CBA Inputs'!$R41+1),0),0)*IF(AI$58=FirstYear+AnalysisPeriod-1,1,0),0)*CapitalCost_ACTIVE*AI$55*IF(Scenario_Select='CBA Inputs'!$T41,1,0)</f>
        <v>0</v>
      </c>
      <c r="BU117" s="17">
        <f>IFERROR(IF(AJ$58&gt;='CBA Inputs'!$R41,MAX('CBA Inputs'!$O41-'CBA Inputs'!$O41/'CBA Inputs'!$S41*(AJ$58-'CBA Inputs'!$R41+1),0),0)*IF(AJ$58=FirstYear+AnalysisPeriod-1,1,0),0)*CapitalCost_ACTIVE*AJ$55*IF(Scenario_Select='CBA Inputs'!$T41,1,0)</f>
        <v>0</v>
      </c>
    </row>
    <row r="118" spans="2:73" x14ac:dyDescent="0.35">
      <c r="B118" s="9">
        <f t="shared" si="30"/>
        <v>11</v>
      </c>
      <c r="C118" s="26" t="str">
        <f t="shared" si="30"/>
        <v>Option 4B</v>
      </c>
      <c r="D118" s="26" t="str">
        <f t="shared" si="33"/>
        <v>Lines</v>
      </c>
      <c r="E118" s="12" t="s">
        <v>35</v>
      </c>
      <c r="F118" s="18">
        <f t="shared" si="34"/>
        <v>150818802.72399539</v>
      </c>
      <c r="G118" s="17">
        <f>IFERROR(IF(G$58&gt;='CBA Inputs'!$H42,MAX('CBA Inputs'!$E42-'CBA Inputs'!$E42/'CBA Inputs'!$I42*(G$58-'CBA Inputs'!$H42+1),0),0)*IF(G$58=FirstYear+AnalysisPeriod-1,1,0),0)*CapitalCost_ACTIVE*G$55</f>
        <v>0</v>
      </c>
      <c r="H118" s="17">
        <f>IFERROR(IF(H$58&gt;='CBA Inputs'!$H42,MAX('CBA Inputs'!$E42-'CBA Inputs'!$E42/'CBA Inputs'!$I42*(H$58-'CBA Inputs'!$H42+1),0),0)*IF(H$58=FirstYear+AnalysisPeriod-1,1,0),0)*CapitalCost_ACTIVE*H$55</f>
        <v>0</v>
      </c>
      <c r="I118" s="17">
        <f>IFERROR(IF(I$58&gt;='CBA Inputs'!$H42,MAX('CBA Inputs'!$E42-'CBA Inputs'!$E42/'CBA Inputs'!$I42*(I$58-'CBA Inputs'!$H42+1),0),0)*IF(I$58=FirstYear+AnalysisPeriod-1,1,0),0)*CapitalCost_ACTIVE*I$55</f>
        <v>0</v>
      </c>
      <c r="J118" s="17">
        <f>IFERROR(IF(J$58&gt;='CBA Inputs'!$H42,MAX('CBA Inputs'!$E42-'CBA Inputs'!$E42/'CBA Inputs'!$I42*(J$58-'CBA Inputs'!$H42+1),0),0)*IF(J$58=FirstYear+AnalysisPeriod-1,1,0),0)*CapitalCost_ACTIVE*J$55</f>
        <v>0</v>
      </c>
      <c r="K118" s="17">
        <f>IFERROR(IF(K$58&gt;='CBA Inputs'!$H42,MAX('CBA Inputs'!$E42-'CBA Inputs'!$E42/'CBA Inputs'!$I42*(K$58-'CBA Inputs'!$H42+1),0),0)*IF(K$58=FirstYear+AnalysisPeriod-1,1,0),0)*CapitalCost_ACTIVE*K$55</f>
        <v>0</v>
      </c>
      <c r="L118" s="17">
        <f>IFERROR(IF(L$58&gt;='CBA Inputs'!$H42,MAX('CBA Inputs'!$E42-'CBA Inputs'!$E42/'CBA Inputs'!$I42*(L$58-'CBA Inputs'!$H42+1),0),0)*IF(L$58=FirstYear+AnalysisPeriod-1,1,0),0)*CapitalCost_ACTIVE*L$55</f>
        <v>0</v>
      </c>
      <c r="M118" s="17">
        <f>IFERROR(IF(M$58&gt;='CBA Inputs'!$H42,MAX('CBA Inputs'!$E42-'CBA Inputs'!$E42/'CBA Inputs'!$I42*(M$58-'CBA Inputs'!$H42+1),0),0)*IF(M$58=FirstYear+AnalysisPeriod-1,1,0),0)*CapitalCost_ACTIVE*M$55</f>
        <v>0</v>
      </c>
      <c r="N118" s="17">
        <f>IFERROR(IF(N$58&gt;='CBA Inputs'!$H42,MAX('CBA Inputs'!$E42-'CBA Inputs'!$E42/'CBA Inputs'!$I42*(N$58-'CBA Inputs'!$H42+1),0),0)*IF(N$58=FirstYear+AnalysisPeriod-1,1,0),0)*CapitalCost_ACTIVE*N$55</f>
        <v>0</v>
      </c>
      <c r="O118" s="17">
        <f>IFERROR(IF(O$58&gt;='CBA Inputs'!$H42,MAX('CBA Inputs'!$E42-'CBA Inputs'!$E42/'CBA Inputs'!$I42*(O$58-'CBA Inputs'!$H42+1),0),0)*IF(O$58=FirstYear+AnalysisPeriod-1,1,0),0)*CapitalCost_ACTIVE*O$55</f>
        <v>0</v>
      </c>
      <c r="P118" s="17">
        <f>IFERROR(IF(P$58&gt;='CBA Inputs'!$H42,MAX('CBA Inputs'!$E42-'CBA Inputs'!$E42/'CBA Inputs'!$I42*(P$58-'CBA Inputs'!$H42+1),0),0)*IF(P$58=FirstYear+AnalysisPeriod-1,1,0),0)*CapitalCost_ACTIVE*P$55</f>
        <v>0</v>
      </c>
      <c r="Q118" s="17">
        <f>IFERROR(IF(Q$58&gt;='CBA Inputs'!$H42,MAX('CBA Inputs'!$E42-'CBA Inputs'!$E42/'CBA Inputs'!$I42*(Q$58-'CBA Inputs'!$H42+1),0),0)*IF(Q$58=FirstYear+AnalysisPeriod-1,1,0),0)*CapitalCost_ACTIVE*Q$55</f>
        <v>0</v>
      </c>
      <c r="R118" s="17">
        <f>IFERROR(IF(R$58&gt;='CBA Inputs'!$H42,MAX('CBA Inputs'!$E42-'CBA Inputs'!$E42/'CBA Inputs'!$I42*(R$58-'CBA Inputs'!$H42+1),0),0)*IF(R$58=FirstYear+AnalysisPeriod-1,1,0),0)*CapitalCost_ACTIVE*R$55</f>
        <v>0</v>
      </c>
      <c r="S118" s="17">
        <f>IFERROR(IF(S$58&gt;='CBA Inputs'!$H42,MAX('CBA Inputs'!$E42-'CBA Inputs'!$E42/'CBA Inputs'!$I42*(S$58-'CBA Inputs'!$H42+1),0),0)*IF(S$58=FirstYear+AnalysisPeriod-1,1,0),0)*CapitalCost_ACTIVE*S$55</f>
        <v>0</v>
      </c>
      <c r="T118" s="17">
        <f>IFERROR(IF(T$58&gt;='CBA Inputs'!$H42,MAX('CBA Inputs'!$E42-'CBA Inputs'!$E42/'CBA Inputs'!$I42*(T$58-'CBA Inputs'!$H42+1),0),0)*IF(T$58=FirstYear+AnalysisPeriod-1,1,0),0)*CapitalCost_ACTIVE*T$55</f>
        <v>0</v>
      </c>
      <c r="U118" s="17">
        <f>IFERROR(IF(U$58&gt;='CBA Inputs'!$H42,MAX('CBA Inputs'!$E42-'CBA Inputs'!$E42/'CBA Inputs'!$I42*(U$58-'CBA Inputs'!$H42+1),0),0)*IF(U$58=FirstYear+AnalysisPeriod-1,1,0),0)*CapitalCost_ACTIVE*U$55</f>
        <v>0</v>
      </c>
      <c r="V118" s="17">
        <f>IFERROR(IF(V$58&gt;='CBA Inputs'!$H42,MAX('CBA Inputs'!$E42-'CBA Inputs'!$E42/'CBA Inputs'!$I42*(V$58-'CBA Inputs'!$H42+1),0),0)*IF(V$58=FirstYear+AnalysisPeriod-1,1,0),0)*CapitalCost_ACTIVE*V$55</f>
        <v>0</v>
      </c>
      <c r="W118" s="17">
        <f>IFERROR(IF(W$58&gt;='CBA Inputs'!$H42,MAX('CBA Inputs'!$E42-'CBA Inputs'!$E42/'CBA Inputs'!$I42*(W$58-'CBA Inputs'!$H42+1),0),0)*IF(W$58=FirstYear+AnalysisPeriod-1,1,0),0)*CapitalCost_ACTIVE*W$55</f>
        <v>0</v>
      </c>
      <c r="X118" s="17">
        <f>IFERROR(IF(X$58&gt;='CBA Inputs'!$H42,MAX('CBA Inputs'!$E42-'CBA Inputs'!$E42/'CBA Inputs'!$I42*(X$58-'CBA Inputs'!$H42+1),0),0)*IF(X$58=FirstYear+AnalysisPeriod-1,1,0),0)*CapitalCost_ACTIVE*X$55</f>
        <v>0</v>
      </c>
      <c r="Y118" s="17">
        <f>IFERROR(IF(Y$58&gt;='CBA Inputs'!$H42,MAX('CBA Inputs'!$E42-'CBA Inputs'!$E42/'CBA Inputs'!$I42*(Y$58-'CBA Inputs'!$H42+1),0),0)*IF(Y$58=FirstYear+AnalysisPeriod-1,1,0),0)*CapitalCost_ACTIVE*Y$55</f>
        <v>0</v>
      </c>
      <c r="Z118" s="17">
        <f>IFERROR(IF(Z$58&gt;='CBA Inputs'!$H42,MAX('CBA Inputs'!$E42-'CBA Inputs'!$E42/'CBA Inputs'!$I42*(Z$58-'CBA Inputs'!$H42+1),0),0)*IF(Z$58=FirstYear+AnalysisPeriod-1,1,0),0)*CapitalCost_ACTIVE*Z$55</f>
        <v>0</v>
      </c>
      <c r="AA118" s="17">
        <f>IFERROR(IF(AA$58&gt;='CBA Inputs'!$H42,MAX('CBA Inputs'!$E42-'CBA Inputs'!$E42/'CBA Inputs'!$I42*(AA$58-'CBA Inputs'!$H42+1),0),0)*IF(AA$58=FirstYear+AnalysisPeriod-1,1,0),0)*CapitalCost_ACTIVE*AA$55</f>
        <v>0</v>
      </c>
      <c r="AB118" s="17">
        <f>IFERROR(IF(AB$58&gt;='CBA Inputs'!$H42,MAX('CBA Inputs'!$E42-'CBA Inputs'!$E42/'CBA Inputs'!$I42*(AB$58-'CBA Inputs'!$H42+1),0),0)*IF(AB$58=FirstYear+AnalysisPeriod-1,1,0),0)*CapitalCost_ACTIVE*AB$55</f>
        <v>0</v>
      </c>
      <c r="AC118" s="17">
        <f>IFERROR(IF(AC$58&gt;='CBA Inputs'!$H42,MAX('CBA Inputs'!$E42-'CBA Inputs'!$E42/'CBA Inputs'!$I42*(AC$58-'CBA Inputs'!$H42+1),0),0)*IF(AC$58=FirstYear+AnalysisPeriod-1,1,0),0)*CapitalCost_ACTIVE*AC$55</f>
        <v>0</v>
      </c>
      <c r="AD118" s="17">
        <f>IFERROR(IF(AD$58&gt;='CBA Inputs'!$H42,MAX('CBA Inputs'!$E42-'CBA Inputs'!$E42/'CBA Inputs'!$I42*(AD$58-'CBA Inputs'!$H42+1),0),0)*IF(AD$58=FirstYear+AnalysisPeriod-1,1,0),0)*CapitalCost_ACTIVE*AD$55</f>
        <v>0</v>
      </c>
      <c r="AE118" s="17">
        <f>IFERROR(IF(AE$58&gt;='CBA Inputs'!$H42,MAX('CBA Inputs'!$E42-'CBA Inputs'!$E42/'CBA Inputs'!$I42*(AE$58-'CBA Inputs'!$H42+1),0),0)*IF(AE$58=FirstYear+AnalysisPeriod-1,1,0),0)*CapitalCost_ACTIVE*AE$55</f>
        <v>0</v>
      </c>
      <c r="AF118" s="17">
        <f>IFERROR(IF(AF$58&gt;='CBA Inputs'!$H42,MAX('CBA Inputs'!$E42-'CBA Inputs'!$E42/'CBA Inputs'!$I42*(AF$58-'CBA Inputs'!$H42+1),0),0)*IF(AF$58=FirstYear+AnalysisPeriod-1,1,0),0)*CapitalCost_ACTIVE*AF$55</f>
        <v>632200000</v>
      </c>
      <c r="AG118" s="17">
        <f>IFERROR(IF(AG$58&gt;='CBA Inputs'!$H42,MAX('CBA Inputs'!$E42-'CBA Inputs'!$E42/'CBA Inputs'!$I42*(AG$58-'CBA Inputs'!$H42+1),0),0)*IF(AG$58=FirstYear+AnalysisPeriod-1,1,0),0)*CapitalCost_ACTIVE*AG$55</f>
        <v>0</v>
      </c>
      <c r="AH118" s="17">
        <f>IFERROR(IF(AH$58&gt;='CBA Inputs'!$H42,MAX('CBA Inputs'!$E42-'CBA Inputs'!$E42/'CBA Inputs'!$I42*(AH$58-'CBA Inputs'!$H42+1),0),0)*IF(AH$58=FirstYear+AnalysisPeriod-1,1,0),0)*CapitalCost_ACTIVE*AH$55</f>
        <v>0</v>
      </c>
      <c r="AI118" s="17">
        <f>IFERROR(IF(AI$58&gt;='CBA Inputs'!$H42,MAX('CBA Inputs'!$E42-'CBA Inputs'!$E42/'CBA Inputs'!$I42*(AI$58-'CBA Inputs'!$H42+1),0),0)*IF(AI$58=FirstYear+AnalysisPeriod-1,1,0),0)*CapitalCost_ACTIVE*AI$55</f>
        <v>0</v>
      </c>
      <c r="AJ118" s="17">
        <f>IFERROR(IF(AJ$58&gt;='CBA Inputs'!$H42,MAX('CBA Inputs'!$E42-'CBA Inputs'!$E42/'CBA Inputs'!$I42*(AJ$58-'CBA Inputs'!$H42+1),0),0)*IF(AJ$58=FirstYear+AnalysisPeriod-1,1,0),0)*CapitalCost_ACTIVE*AJ$55</f>
        <v>0</v>
      </c>
      <c r="AM118" s="9" t="str">
        <f t="shared" si="35"/>
        <v/>
      </c>
      <c r="AN118" s="26">
        <f t="shared" si="35"/>
        <v>0</v>
      </c>
      <c r="AO118" s="26">
        <f t="shared" si="35"/>
        <v>0</v>
      </c>
      <c r="AP118" s="12" t="s">
        <v>35</v>
      </c>
      <c r="AQ118" s="18">
        <f t="shared" si="36"/>
        <v>0</v>
      </c>
      <c r="AR118" s="17">
        <f>IFERROR(IF(G$58&gt;='CBA Inputs'!$R42,MAX('CBA Inputs'!$O42-'CBA Inputs'!$O42/'CBA Inputs'!$S42*(G$58-'CBA Inputs'!$R42+1),0),0)*IF(G$58=FirstYear+AnalysisPeriod-1,1,0),0)*CapitalCost_ACTIVE*G$55*IF(Scenario_Select='CBA Inputs'!$T42,1,0)</f>
        <v>0</v>
      </c>
      <c r="AS118" s="17">
        <f>IFERROR(IF(H$58&gt;='CBA Inputs'!$R42,MAX('CBA Inputs'!$O42-'CBA Inputs'!$O42/'CBA Inputs'!$S42*(H$58-'CBA Inputs'!$R42+1),0),0)*IF(H$58=FirstYear+AnalysisPeriod-1,1,0),0)*CapitalCost_ACTIVE*H$55*IF(Scenario_Select='CBA Inputs'!$T42,1,0)</f>
        <v>0</v>
      </c>
      <c r="AT118" s="17">
        <f>IFERROR(IF(I$58&gt;='CBA Inputs'!$R42,MAX('CBA Inputs'!$O42-'CBA Inputs'!$O42/'CBA Inputs'!$S42*(I$58-'CBA Inputs'!$R42+1),0),0)*IF(I$58=FirstYear+AnalysisPeriod-1,1,0),0)*CapitalCost_ACTIVE*I$55*IF(Scenario_Select='CBA Inputs'!$T42,1,0)</f>
        <v>0</v>
      </c>
      <c r="AU118" s="17">
        <f>IFERROR(IF(J$58&gt;='CBA Inputs'!$R42,MAX('CBA Inputs'!$O42-'CBA Inputs'!$O42/'CBA Inputs'!$S42*(J$58-'CBA Inputs'!$R42+1),0),0)*IF(J$58=FirstYear+AnalysisPeriod-1,1,0),0)*CapitalCost_ACTIVE*J$55*IF(Scenario_Select='CBA Inputs'!$T42,1,0)</f>
        <v>0</v>
      </c>
      <c r="AV118" s="17">
        <f>IFERROR(IF(K$58&gt;='CBA Inputs'!$R42,MAX('CBA Inputs'!$O42-'CBA Inputs'!$O42/'CBA Inputs'!$S42*(K$58-'CBA Inputs'!$R42+1),0),0)*IF(K$58=FirstYear+AnalysisPeriod-1,1,0),0)*CapitalCost_ACTIVE*K$55*IF(Scenario_Select='CBA Inputs'!$T42,1,0)</f>
        <v>0</v>
      </c>
      <c r="AW118" s="17">
        <f>IFERROR(IF(L$58&gt;='CBA Inputs'!$R42,MAX('CBA Inputs'!$O42-'CBA Inputs'!$O42/'CBA Inputs'!$S42*(L$58-'CBA Inputs'!$R42+1),0),0)*IF(L$58=FirstYear+AnalysisPeriod-1,1,0),0)*CapitalCost_ACTIVE*L$55*IF(Scenario_Select='CBA Inputs'!$T42,1,0)</f>
        <v>0</v>
      </c>
      <c r="AX118" s="17">
        <f>IFERROR(IF(M$58&gt;='CBA Inputs'!$R42,MAX('CBA Inputs'!$O42-'CBA Inputs'!$O42/'CBA Inputs'!$S42*(M$58-'CBA Inputs'!$R42+1),0),0)*IF(M$58=FirstYear+AnalysisPeriod-1,1,0),0)*CapitalCost_ACTIVE*M$55*IF(Scenario_Select='CBA Inputs'!$T42,1,0)</f>
        <v>0</v>
      </c>
      <c r="AY118" s="17">
        <f>IFERROR(IF(N$58&gt;='CBA Inputs'!$R42,MAX('CBA Inputs'!$O42-'CBA Inputs'!$O42/'CBA Inputs'!$S42*(N$58-'CBA Inputs'!$R42+1),0),0)*IF(N$58=FirstYear+AnalysisPeriod-1,1,0),0)*CapitalCost_ACTIVE*N$55*IF(Scenario_Select='CBA Inputs'!$T42,1,0)</f>
        <v>0</v>
      </c>
      <c r="AZ118" s="17">
        <f>IFERROR(IF(O$58&gt;='CBA Inputs'!$R42,MAX('CBA Inputs'!$O42-'CBA Inputs'!$O42/'CBA Inputs'!$S42*(O$58-'CBA Inputs'!$R42+1),0),0)*IF(O$58=FirstYear+AnalysisPeriod-1,1,0),0)*CapitalCost_ACTIVE*O$55*IF(Scenario_Select='CBA Inputs'!$T42,1,0)</f>
        <v>0</v>
      </c>
      <c r="BA118" s="17">
        <f>IFERROR(IF(P$58&gt;='CBA Inputs'!$R42,MAX('CBA Inputs'!$O42-'CBA Inputs'!$O42/'CBA Inputs'!$S42*(P$58-'CBA Inputs'!$R42+1),0),0)*IF(P$58=FirstYear+AnalysisPeriod-1,1,0),0)*CapitalCost_ACTIVE*P$55*IF(Scenario_Select='CBA Inputs'!$T42,1,0)</f>
        <v>0</v>
      </c>
      <c r="BB118" s="17">
        <f>IFERROR(IF(Q$58&gt;='CBA Inputs'!$R42,MAX('CBA Inputs'!$O42-'CBA Inputs'!$O42/'CBA Inputs'!$S42*(Q$58-'CBA Inputs'!$R42+1),0),0)*IF(Q$58=FirstYear+AnalysisPeriod-1,1,0),0)*CapitalCost_ACTIVE*Q$55*IF(Scenario_Select='CBA Inputs'!$T42,1,0)</f>
        <v>0</v>
      </c>
      <c r="BC118" s="17">
        <f>IFERROR(IF(R$58&gt;='CBA Inputs'!$R42,MAX('CBA Inputs'!$O42-'CBA Inputs'!$O42/'CBA Inputs'!$S42*(R$58-'CBA Inputs'!$R42+1),0),0)*IF(R$58=FirstYear+AnalysisPeriod-1,1,0),0)*CapitalCost_ACTIVE*R$55*IF(Scenario_Select='CBA Inputs'!$T42,1,0)</f>
        <v>0</v>
      </c>
      <c r="BD118" s="17">
        <f>IFERROR(IF(S$58&gt;='CBA Inputs'!$R42,MAX('CBA Inputs'!$O42-'CBA Inputs'!$O42/'CBA Inputs'!$S42*(S$58-'CBA Inputs'!$R42+1),0),0)*IF(S$58=FirstYear+AnalysisPeriod-1,1,0),0)*CapitalCost_ACTIVE*S$55*IF(Scenario_Select='CBA Inputs'!$T42,1,0)</f>
        <v>0</v>
      </c>
      <c r="BE118" s="17">
        <f>IFERROR(IF(T$58&gt;='CBA Inputs'!$R42,MAX('CBA Inputs'!$O42-'CBA Inputs'!$O42/'CBA Inputs'!$S42*(T$58-'CBA Inputs'!$R42+1),0),0)*IF(T$58=FirstYear+AnalysisPeriod-1,1,0),0)*CapitalCost_ACTIVE*T$55*IF(Scenario_Select='CBA Inputs'!$T42,1,0)</f>
        <v>0</v>
      </c>
      <c r="BF118" s="17">
        <f>IFERROR(IF(U$58&gt;='CBA Inputs'!$R42,MAX('CBA Inputs'!$O42-'CBA Inputs'!$O42/'CBA Inputs'!$S42*(U$58-'CBA Inputs'!$R42+1),0),0)*IF(U$58=FirstYear+AnalysisPeriod-1,1,0),0)*CapitalCost_ACTIVE*U$55*IF(Scenario_Select='CBA Inputs'!$T42,1,0)</f>
        <v>0</v>
      </c>
      <c r="BG118" s="17">
        <f>IFERROR(IF(V$58&gt;='CBA Inputs'!$R42,MAX('CBA Inputs'!$O42-'CBA Inputs'!$O42/'CBA Inputs'!$S42*(V$58-'CBA Inputs'!$R42+1),0),0)*IF(V$58=FirstYear+AnalysisPeriod-1,1,0),0)*CapitalCost_ACTIVE*V$55*IF(Scenario_Select='CBA Inputs'!$T42,1,0)</f>
        <v>0</v>
      </c>
      <c r="BH118" s="17">
        <f>IFERROR(IF(W$58&gt;='CBA Inputs'!$R42,MAX('CBA Inputs'!$O42-'CBA Inputs'!$O42/'CBA Inputs'!$S42*(W$58-'CBA Inputs'!$R42+1),0),0)*IF(W$58=FirstYear+AnalysisPeriod-1,1,0),0)*CapitalCost_ACTIVE*W$55*IF(Scenario_Select='CBA Inputs'!$T42,1,0)</f>
        <v>0</v>
      </c>
      <c r="BI118" s="17">
        <f>IFERROR(IF(X$58&gt;='CBA Inputs'!$R42,MAX('CBA Inputs'!$O42-'CBA Inputs'!$O42/'CBA Inputs'!$S42*(X$58-'CBA Inputs'!$R42+1),0),0)*IF(X$58=FirstYear+AnalysisPeriod-1,1,0),0)*CapitalCost_ACTIVE*X$55*IF(Scenario_Select='CBA Inputs'!$T42,1,0)</f>
        <v>0</v>
      </c>
      <c r="BJ118" s="17">
        <f>IFERROR(IF(Y$58&gt;='CBA Inputs'!$R42,MAX('CBA Inputs'!$O42-'CBA Inputs'!$O42/'CBA Inputs'!$S42*(Y$58-'CBA Inputs'!$R42+1),0),0)*IF(Y$58=FirstYear+AnalysisPeriod-1,1,0),0)*CapitalCost_ACTIVE*Y$55*IF(Scenario_Select='CBA Inputs'!$T42,1,0)</f>
        <v>0</v>
      </c>
      <c r="BK118" s="17">
        <f>IFERROR(IF(Z$58&gt;='CBA Inputs'!$R42,MAX('CBA Inputs'!$O42-'CBA Inputs'!$O42/'CBA Inputs'!$S42*(Z$58-'CBA Inputs'!$R42+1),0),0)*IF(Z$58=FirstYear+AnalysisPeriod-1,1,0),0)*CapitalCost_ACTIVE*Z$55*IF(Scenario_Select='CBA Inputs'!$T42,1,0)</f>
        <v>0</v>
      </c>
      <c r="BL118" s="17">
        <f>IFERROR(IF(AA$58&gt;='CBA Inputs'!$R42,MAX('CBA Inputs'!$O42-'CBA Inputs'!$O42/'CBA Inputs'!$S42*(AA$58-'CBA Inputs'!$R42+1),0),0)*IF(AA$58=FirstYear+AnalysisPeriod-1,1,0),0)*CapitalCost_ACTIVE*AA$55*IF(Scenario_Select='CBA Inputs'!$T42,1,0)</f>
        <v>0</v>
      </c>
      <c r="BM118" s="17">
        <f>IFERROR(IF(AB$58&gt;='CBA Inputs'!$R42,MAX('CBA Inputs'!$O42-'CBA Inputs'!$O42/'CBA Inputs'!$S42*(AB$58-'CBA Inputs'!$R42+1),0),0)*IF(AB$58=FirstYear+AnalysisPeriod-1,1,0),0)*CapitalCost_ACTIVE*AB$55*IF(Scenario_Select='CBA Inputs'!$T42,1,0)</f>
        <v>0</v>
      </c>
      <c r="BN118" s="17">
        <f>IFERROR(IF(AC$58&gt;='CBA Inputs'!$R42,MAX('CBA Inputs'!$O42-'CBA Inputs'!$O42/'CBA Inputs'!$S42*(AC$58-'CBA Inputs'!$R42+1),0),0)*IF(AC$58=FirstYear+AnalysisPeriod-1,1,0),0)*CapitalCost_ACTIVE*AC$55*IF(Scenario_Select='CBA Inputs'!$T42,1,0)</f>
        <v>0</v>
      </c>
      <c r="BO118" s="17">
        <f>IFERROR(IF(AD$58&gt;='CBA Inputs'!$R42,MAX('CBA Inputs'!$O42-'CBA Inputs'!$O42/'CBA Inputs'!$S42*(AD$58-'CBA Inputs'!$R42+1),0),0)*IF(AD$58=FirstYear+AnalysisPeriod-1,1,0),0)*CapitalCost_ACTIVE*AD$55*IF(Scenario_Select='CBA Inputs'!$T42,1,0)</f>
        <v>0</v>
      </c>
      <c r="BP118" s="17">
        <f>IFERROR(IF(AE$58&gt;='CBA Inputs'!$R42,MAX('CBA Inputs'!$O42-'CBA Inputs'!$O42/'CBA Inputs'!$S42*(AE$58-'CBA Inputs'!$R42+1),0),0)*IF(AE$58=FirstYear+AnalysisPeriod-1,1,0),0)*CapitalCost_ACTIVE*AE$55*IF(Scenario_Select='CBA Inputs'!$T42,1,0)</f>
        <v>0</v>
      </c>
      <c r="BQ118" s="17">
        <f>IFERROR(IF(AF$58&gt;='CBA Inputs'!$R42,MAX('CBA Inputs'!$O42-'CBA Inputs'!$O42/'CBA Inputs'!$S42*(AF$58-'CBA Inputs'!$R42+1),0),0)*IF(AF$58=FirstYear+AnalysisPeriod-1,1,0),0)*CapitalCost_ACTIVE*AF$55*IF(Scenario_Select='CBA Inputs'!$T42,1,0)</f>
        <v>0</v>
      </c>
      <c r="BR118" s="17">
        <f>IFERROR(IF(AG$58&gt;='CBA Inputs'!$R42,MAX('CBA Inputs'!$O42-'CBA Inputs'!$O42/'CBA Inputs'!$S42*(AG$58-'CBA Inputs'!$R42+1),0),0)*IF(AG$58=FirstYear+AnalysisPeriod-1,1,0),0)*CapitalCost_ACTIVE*AG$55*IF(Scenario_Select='CBA Inputs'!$T42,1,0)</f>
        <v>0</v>
      </c>
      <c r="BS118" s="17">
        <f>IFERROR(IF(AH$58&gt;='CBA Inputs'!$R42,MAX('CBA Inputs'!$O42-'CBA Inputs'!$O42/'CBA Inputs'!$S42*(AH$58-'CBA Inputs'!$R42+1),0),0)*IF(AH$58=FirstYear+AnalysisPeriod-1,1,0),0)*CapitalCost_ACTIVE*AH$55*IF(Scenario_Select='CBA Inputs'!$T42,1,0)</f>
        <v>0</v>
      </c>
      <c r="BT118" s="17">
        <f>IFERROR(IF(AI$58&gt;='CBA Inputs'!$R42,MAX('CBA Inputs'!$O42-'CBA Inputs'!$O42/'CBA Inputs'!$S42*(AI$58-'CBA Inputs'!$R42+1),0),0)*IF(AI$58=FirstYear+AnalysisPeriod-1,1,0),0)*CapitalCost_ACTIVE*AI$55*IF(Scenario_Select='CBA Inputs'!$T42,1,0)</f>
        <v>0</v>
      </c>
      <c r="BU118" s="17">
        <f>IFERROR(IF(AJ$58&gt;='CBA Inputs'!$R42,MAX('CBA Inputs'!$O42-'CBA Inputs'!$O42/'CBA Inputs'!$S42*(AJ$58-'CBA Inputs'!$R42+1),0),0)*IF(AJ$58=FirstYear+AnalysisPeriod-1,1,0),0)*CapitalCost_ACTIVE*AJ$55*IF(Scenario_Select='CBA Inputs'!$T42,1,0)</f>
        <v>0</v>
      </c>
    </row>
    <row r="119" spans="2:73" x14ac:dyDescent="0.35">
      <c r="B119" s="9">
        <f t="shared" si="30"/>
        <v>11</v>
      </c>
      <c r="C119" s="26" t="str">
        <f t="shared" si="30"/>
        <v>Option 4B</v>
      </c>
      <c r="D119" s="26" t="str">
        <f t="shared" si="33"/>
        <v>Substation</v>
      </c>
      <c r="E119" s="12" t="s">
        <v>35</v>
      </c>
      <c r="F119" s="18">
        <f t="shared" si="34"/>
        <v>14957828.109450351</v>
      </c>
      <c r="G119" s="17">
        <f>IFERROR(IF(G$58&gt;='CBA Inputs'!$H43,MAX('CBA Inputs'!$E43-'CBA Inputs'!$E43/'CBA Inputs'!$I43*(G$58-'CBA Inputs'!$H43+1),0),0)*IF(G$58=FirstYear+AnalysisPeriod-1,1,0),0)*CapitalCost_ACTIVE*G$55</f>
        <v>0</v>
      </c>
      <c r="H119" s="17">
        <f>IFERROR(IF(H$58&gt;='CBA Inputs'!$H43,MAX('CBA Inputs'!$E43-'CBA Inputs'!$E43/'CBA Inputs'!$I43*(H$58-'CBA Inputs'!$H43+1),0),0)*IF(H$58=FirstYear+AnalysisPeriod-1,1,0),0)*CapitalCost_ACTIVE*H$55</f>
        <v>0</v>
      </c>
      <c r="I119" s="17">
        <f>IFERROR(IF(I$58&gt;='CBA Inputs'!$H43,MAX('CBA Inputs'!$E43-'CBA Inputs'!$E43/'CBA Inputs'!$I43*(I$58-'CBA Inputs'!$H43+1),0),0)*IF(I$58=FirstYear+AnalysisPeriod-1,1,0),0)*CapitalCost_ACTIVE*I$55</f>
        <v>0</v>
      </c>
      <c r="J119" s="17">
        <f>IFERROR(IF(J$58&gt;='CBA Inputs'!$H43,MAX('CBA Inputs'!$E43-'CBA Inputs'!$E43/'CBA Inputs'!$I43*(J$58-'CBA Inputs'!$H43+1),0),0)*IF(J$58=FirstYear+AnalysisPeriod-1,1,0),0)*CapitalCost_ACTIVE*J$55</f>
        <v>0</v>
      </c>
      <c r="K119" s="17">
        <f>IFERROR(IF(K$58&gt;='CBA Inputs'!$H43,MAX('CBA Inputs'!$E43-'CBA Inputs'!$E43/'CBA Inputs'!$I43*(K$58-'CBA Inputs'!$H43+1),0),0)*IF(K$58=FirstYear+AnalysisPeriod-1,1,0),0)*CapitalCost_ACTIVE*K$55</f>
        <v>0</v>
      </c>
      <c r="L119" s="17">
        <f>IFERROR(IF(L$58&gt;='CBA Inputs'!$H43,MAX('CBA Inputs'!$E43-'CBA Inputs'!$E43/'CBA Inputs'!$I43*(L$58-'CBA Inputs'!$H43+1),0),0)*IF(L$58=FirstYear+AnalysisPeriod-1,1,0),0)*CapitalCost_ACTIVE*L$55</f>
        <v>0</v>
      </c>
      <c r="M119" s="17">
        <f>IFERROR(IF(M$58&gt;='CBA Inputs'!$H43,MAX('CBA Inputs'!$E43-'CBA Inputs'!$E43/'CBA Inputs'!$I43*(M$58-'CBA Inputs'!$H43+1),0),0)*IF(M$58=FirstYear+AnalysisPeriod-1,1,0),0)*CapitalCost_ACTIVE*M$55</f>
        <v>0</v>
      </c>
      <c r="N119" s="17">
        <f>IFERROR(IF(N$58&gt;='CBA Inputs'!$H43,MAX('CBA Inputs'!$E43-'CBA Inputs'!$E43/'CBA Inputs'!$I43*(N$58-'CBA Inputs'!$H43+1),0),0)*IF(N$58=FirstYear+AnalysisPeriod-1,1,0),0)*CapitalCost_ACTIVE*N$55</f>
        <v>0</v>
      </c>
      <c r="O119" s="17">
        <f>IFERROR(IF(O$58&gt;='CBA Inputs'!$H43,MAX('CBA Inputs'!$E43-'CBA Inputs'!$E43/'CBA Inputs'!$I43*(O$58-'CBA Inputs'!$H43+1),0),0)*IF(O$58=FirstYear+AnalysisPeriod-1,1,0),0)*CapitalCost_ACTIVE*O$55</f>
        <v>0</v>
      </c>
      <c r="P119" s="17">
        <f>IFERROR(IF(P$58&gt;='CBA Inputs'!$H43,MAX('CBA Inputs'!$E43-'CBA Inputs'!$E43/'CBA Inputs'!$I43*(P$58-'CBA Inputs'!$H43+1),0),0)*IF(P$58=FirstYear+AnalysisPeriod-1,1,0),0)*CapitalCost_ACTIVE*P$55</f>
        <v>0</v>
      </c>
      <c r="Q119" s="17">
        <f>IFERROR(IF(Q$58&gt;='CBA Inputs'!$H43,MAX('CBA Inputs'!$E43-'CBA Inputs'!$E43/'CBA Inputs'!$I43*(Q$58-'CBA Inputs'!$H43+1),0),0)*IF(Q$58=FirstYear+AnalysisPeriod-1,1,0),0)*CapitalCost_ACTIVE*Q$55</f>
        <v>0</v>
      </c>
      <c r="R119" s="17">
        <f>IFERROR(IF(R$58&gt;='CBA Inputs'!$H43,MAX('CBA Inputs'!$E43-'CBA Inputs'!$E43/'CBA Inputs'!$I43*(R$58-'CBA Inputs'!$H43+1),0),0)*IF(R$58=FirstYear+AnalysisPeriod-1,1,0),0)*CapitalCost_ACTIVE*R$55</f>
        <v>0</v>
      </c>
      <c r="S119" s="17">
        <f>IFERROR(IF(S$58&gt;='CBA Inputs'!$H43,MAX('CBA Inputs'!$E43-'CBA Inputs'!$E43/'CBA Inputs'!$I43*(S$58-'CBA Inputs'!$H43+1),0),0)*IF(S$58=FirstYear+AnalysisPeriod-1,1,0),0)*CapitalCost_ACTIVE*S$55</f>
        <v>0</v>
      </c>
      <c r="T119" s="17">
        <f>IFERROR(IF(T$58&gt;='CBA Inputs'!$H43,MAX('CBA Inputs'!$E43-'CBA Inputs'!$E43/'CBA Inputs'!$I43*(T$58-'CBA Inputs'!$H43+1),0),0)*IF(T$58=FirstYear+AnalysisPeriod-1,1,0),0)*CapitalCost_ACTIVE*T$55</f>
        <v>0</v>
      </c>
      <c r="U119" s="17">
        <f>IFERROR(IF(U$58&gt;='CBA Inputs'!$H43,MAX('CBA Inputs'!$E43-'CBA Inputs'!$E43/'CBA Inputs'!$I43*(U$58-'CBA Inputs'!$H43+1),0),0)*IF(U$58=FirstYear+AnalysisPeriod-1,1,0),0)*CapitalCost_ACTIVE*U$55</f>
        <v>0</v>
      </c>
      <c r="V119" s="17">
        <f>IFERROR(IF(V$58&gt;='CBA Inputs'!$H43,MAX('CBA Inputs'!$E43-'CBA Inputs'!$E43/'CBA Inputs'!$I43*(V$58-'CBA Inputs'!$H43+1),0),0)*IF(V$58=FirstYear+AnalysisPeriod-1,1,0),0)*CapitalCost_ACTIVE*V$55</f>
        <v>0</v>
      </c>
      <c r="W119" s="17">
        <f>IFERROR(IF(W$58&gt;='CBA Inputs'!$H43,MAX('CBA Inputs'!$E43-'CBA Inputs'!$E43/'CBA Inputs'!$I43*(W$58-'CBA Inputs'!$H43+1),0),0)*IF(W$58=FirstYear+AnalysisPeriod-1,1,0),0)*CapitalCost_ACTIVE*W$55</f>
        <v>0</v>
      </c>
      <c r="X119" s="17">
        <f>IFERROR(IF(X$58&gt;='CBA Inputs'!$H43,MAX('CBA Inputs'!$E43-'CBA Inputs'!$E43/'CBA Inputs'!$I43*(X$58-'CBA Inputs'!$H43+1),0),0)*IF(X$58=FirstYear+AnalysisPeriod-1,1,0),0)*CapitalCost_ACTIVE*X$55</f>
        <v>0</v>
      </c>
      <c r="Y119" s="17">
        <f>IFERROR(IF(Y$58&gt;='CBA Inputs'!$H43,MAX('CBA Inputs'!$E43-'CBA Inputs'!$E43/'CBA Inputs'!$I43*(Y$58-'CBA Inputs'!$H43+1),0),0)*IF(Y$58=FirstYear+AnalysisPeriod-1,1,0),0)*CapitalCost_ACTIVE*Y$55</f>
        <v>0</v>
      </c>
      <c r="Z119" s="17">
        <f>IFERROR(IF(Z$58&gt;='CBA Inputs'!$H43,MAX('CBA Inputs'!$E43-'CBA Inputs'!$E43/'CBA Inputs'!$I43*(Z$58-'CBA Inputs'!$H43+1),0),0)*IF(Z$58=FirstYear+AnalysisPeriod-1,1,0),0)*CapitalCost_ACTIVE*Z$55</f>
        <v>0</v>
      </c>
      <c r="AA119" s="17">
        <f>IFERROR(IF(AA$58&gt;='CBA Inputs'!$H43,MAX('CBA Inputs'!$E43-'CBA Inputs'!$E43/'CBA Inputs'!$I43*(AA$58-'CBA Inputs'!$H43+1),0),0)*IF(AA$58=FirstYear+AnalysisPeriod-1,1,0),0)*CapitalCost_ACTIVE*AA$55</f>
        <v>0</v>
      </c>
      <c r="AB119" s="17">
        <f>IFERROR(IF(AB$58&gt;='CBA Inputs'!$H43,MAX('CBA Inputs'!$E43-'CBA Inputs'!$E43/'CBA Inputs'!$I43*(AB$58-'CBA Inputs'!$H43+1),0),0)*IF(AB$58=FirstYear+AnalysisPeriod-1,1,0),0)*CapitalCost_ACTIVE*AB$55</f>
        <v>0</v>
      </c>
      <c r="AC119" s="17">
        <f>IFERROR(IF(AC$58&gt;='CBA Inputs'!$H43,MAX('CBA Inputs'!$E43-'CBA Inputs'!$E43/'CBA Inputs'!$I43*(AC$58-'CBA Inputs'!$H43+1),0),0)*IF(AC$58=FirstYear+AnalysisPeriod-1,1,0),0)*CapitalCost_ACTIVE*AC$55</f>
        <v>0</v>
      </c>
      <c r="AD119" s="17">
        <f>IFERROR(IF(AD$58&gt;='CBA Inputs'!$H43,MAX('CBA Inputs'!$E43-'CBA Inputs'!$E43/'CBA Inputs'!$I43*(AD$58-'CBA Inputs'!$H43+1),0),0)*IF(AD$58=FirstYear+AnalysisPeriod-1,1,0),0)*CapitalCost_ACTIVE*AD$55</f>
        <v>0</v>
      </c>
      <c r="AE119" s="17">
        <f>IFERROR(IF(AE$58&gt;='CBA Inputs'!$H43,MAX('CBA Inputs'!$E43-'CBA Inputs'!$E43/'CBA Inputs'!$I43*(AE$58-'CBA Inputs'!$H43+1),0),0)*IF(AE$58=FirstYear+AnalysisPeriod-1,1,0),0)*CapitalCost_ACTIVE*AE$55</f>
        <v>0</v>
      </c>
      <c r="AF119" s="17">
        <f>IFERROR(IF(AF$58&gt;='CBA Inputs'!$H43,MAX('CBA Inputs'!$E43-'CBA Inputs'!$E43/'CBA Inputs'!$I43*(AF$58-'CBA Inputs'!$H43+1),0),0)*IF(AF$58=FirstYear+AnalysisPeriod-1,1,0),0)*CapitalCost_ACTIVE*AF$55</f>
        <v>62700000</v>
      </c>
      <c r="AG119" s="17">
        <f>IFERROR(IF(AG$58&gt;='CBA Inputs'!$H43,MAX('CBA Inputs'!$E43-'CBA Inputs'!$E43/'CBA Inputs'!$I43*(AG$58-'CBA Inputs'!$H43+1),0),0)*IF(AG$58=FirstYear+AnalysisPeriod-1,1,0),0)*CapitalCost_ACTIVE*AG$55</f>
        <v>0</v>
      </c>
      <c r="AH119" s="17">
        <f>IFERROR(IF(AH$58&gt;='CBA Inputs'!$H43,MAX('CBA Inputs'!$E43-'CBA Inputs'!$E43/'CBA Inputs'!$I43*(AH$58-'CBA Inputs'!$H43+1),0),0)*IF(AH$58=FirstYear+AnalysisPeriod-1,1,0),0)*CapitalCost_ACTIVE*AH$55</f>
        <v>0</v>
      </c>
      <c r="AI119" s="17">
        <f>IFERROR(IF(AI$58&gt;='CBA Inputs'!$H43,MAX('CBA Inputs'!$E43-'CBA Inputs'!$E43/'CBA Inputs'!$I43*(AI$58-'CBA Inputs'!$H43+1),0),0)*IF(AI$58=FirstYear+AnalysisPeriod-1,1,0),0)*CapitalCost_ACTIVE*AI$55</f>
        <v>0</v>
      </c>
      <c r="AJ119" s="17">
        <f>IFERROR(IF(AJ$58&gt;='CBA Inputs'!$H43,MAX('CBA Inputs'!$E43-'CBA Inputs'!$E43/'CBA Inputs'!$I43*(AJ$58-'CBA Inputs'!$H43+1),0),0)*IF(AJ$58=FirstYear+AnalysisPeriod-1,1,0),0)*CapitalCost_ACTIVE*AJ$55</f>
        <v>0</v>
      </c>
      <c r="AM119" s="9" t="str">
        <f t="shared" si="35"/>
        <v/>
      </c>
      <c r="AN119" s="26">
        <f t="shared" si="35"/>
        <v>0</v>
      </c>
      <c r="AO119" s="26">
        <f t="shared" si="35"/>
        <v>0</v>
      </c>
      <c r="AP119" s="12" t="s">
        <v>35</v>
      </c>
      <c r="AQ119" s="18">
        <f t="shared" si="36"/>
        <v>0</v>
      </c>
      <c r="AR119" s="17">
        <f>IFERROR(IF(G$58&gt;='CBA Inputs'!$R43,MAX('CBA Inputs'!$O43-'CBA Inputs'!$O43/'CBA Inputs'!$S43*(G$58-'CBA Inputs'!$R43+1),0),0)*IF(G$58=FirstYear+AnalysisPeriod-1,1,0),0)*CapitalCost_ACTIVE*G$55*IF(Scenario_Select='CBA Inputs'!$T43,1,0)</f>
        <v>0</v>
      </c>
      <c r="AS119" s="17">
        <f>IFERROR(IF(H$58&gt;='CBA Inputs'!$R43,MAX('CBA Inputs'!$O43-'CBA Inputs'!$O43/'CBA Inputs'!$S43*(H$58-'CBA Inputs'!$R43+1),0),0)*IF(H$58=FirstYear+AnalysisPeriod-1,1,0),0)*CapitalCost_ACTIVE*H$55*IF(Scenario_Select='CBA Inputs'!$T43,1,0)</f>
        <v>0</v>
      </c>
      <c r="AT119" s="17">
        <f>IFERROR(IF(I$58&gt;='CBA Inputs'!$R43,MAX('CBA Inputs'!$O43-'CBA Inputs'!$O43/'CBA Inputs'!$S43*(I$58-'CBA Inputs'!$R43+1),0),0)*IF(I$58=FirstYear+AnalysisPeriod-1,1,0),0)*CapitalCost_ACTIVE*I$55*IF(Scenario_Select='CBA Inputs'!$T43,1,0)</f>
        <v>0</v>
      </c>
      <c r="AU119" s="17">
        <f>IFERROR(IF(J$58&gt;='CBA Inputs'!$R43,MAX('CBA Inputs'!$O43-'CBA Inputs'!$O43/'CBA Inputs'!$S43*(J$58-'CBA Inputs'!$R43+1),0),0)*IF(J$58=FirstYear+AnalysisPeriod-1,1,0),0)*CapitalCost_ACTIVE*J$55*IF(Scenario_Select='CBA Inputs'!$T43,1,0)</f>
        <v>0</v>
      </c>
      <c r="AV119" s="17">
        <f>IFERROR(IF(K$58&gt;='CBA Inputs'!$R43,MAX('CBA Inputs'!$O43-'CBA Inputs'!$O43/'CBA Inputs'!$S43*(K$58-'CBA Inputs'!$R43+1),0),0)*IF(K$58=FirstYear+AnalysisPeriod-1,1,0),0)*CapitalCost_ACTIVE*K$55*IF(Scenario_Select='CBA Inputs'!$T43,1,0)</f>
        <v>0</v>
      </c>
      <c r="AW119" s="17">
        <f>IFERROR(IF(L$58&gt;='CBA Inputs'!$R43,MAX('CBA Inputs'!$O43-'CBA Inputs'!$O43/'CBA Inputs'!$S43*(L$58-'CBA Inputs'!$R43+1),0),0)*IF(L$58=FirstYear+AnalysisPeriod-1,1,0),0)*CapitalCost_ACTIVE*L$55*IF(Scenario_Select='CBA Inputs'!$T43,1,0)</f>
        <v>0</v>
      </c>
      <c r="AX119" s="17">
        <f>IFERROR(IF(M$58&gt;='CBA Inputs'!$R43,MAX('CBA Inputs'!$O43-'CBA Inputs'!$O43/'CBA Inputs'!$S43*(M$58-'CBA Inputs'!$R43+1),0),0)*IF(M$58=FirstYear+AnalysisPeriod-1,1,0),0)*CapitalCost_ACTIVE*M$55*IF(Scenario_Select='CBA Inputs'!$T43,1,0)</f>
        <v>0</v>
      </c>
      <c r="AY119" s="17">
        <f>IFERROR(IF(N$58&gt;='CBA Inputs'!$R43,MAX('CBA Inputs'!$O43-'CBA Inputs'!$O43/'CBA Inputs'!$S43*(N$58-'CBA Inputs'!$R43+1),0),0)*IF(N$58=FirstYear+AnalysisPeriod-1,1,0),0)*CapitalCost_ACTIVE*N$55*IF(Scenario_Select='CBA Inputs'!$T43,1,0)</f>
        <v>0</v>
      </c>
      <c r="AZ119" s="17">
        <f>IFERROR(IF(O$58&gt;='CBA Inputs'!$R43,MAX('CBA Inputs'!$O43-'CBA Inputs'!$O43/'CBA Inputs'!$S43*(O$58-'CBA Inputs'!$R43+1),0),0)*IF(O$58=FirstYear+AnalysisPeriod-1,1,0),0)*CapitalCost_ACTIVE*O$55*IF(Scenario_Select='CBA Inputs'!$T43,1,0)</f>
        <v>0</v>
      </c>
      <c r="BA119" s="17">
        <f>IFERROR(IF(P$58&gt;='CBA Inputs'!$R43,MAX('CBA Inputs'!$O43-'CBA Inputs'!$O43/'CBA Inputs'!$S43*(P$58-'CBA Inputs'!$R43+1),0),0)*IF(P$58=FirstYear+AnalysisPeriod-1,1,0),0)*CapitalCost_ACTIVE*P$55*IF(Scenario_Select='CBA Inputs'!$T43,1,0)</f>
        <v>0</v>
      </c>
      <c r="BB119" s="17">
        <f>IFERROR(IF(Q$58&gt;='CBA Inputs'!$R43,MAX('CBA Inputs'!$O43-'CBA Inputs'!$O43/'CBA Inputs'!$S43*(Q$58-'CBA Inputs'!$R43+1),0),0)*IF(Q$58=FirstYear+AnalysisPeriod-1,1,0),0)*CapitalCost_ACTIVE*Q$55*IF(Scenario_Select='CBA Inputs'!$T43,1,0)</f>
        <v>0</v>
      </c>
      <c r="BC119" s="17">
        <f>IFERROR(IF(R$58&gt;='CBA Inputs'!$R43,MAX('CBA Inputs'!$O43-'CBA Inputs'!$O43/'CBA Inputs'!$S43*(R$58-'CBA Inputs'!$R43+1),0),0)*IF(R$58=FirstYear+AnalysisPeriod-1,1,0),0)*CapitalCost_ACTIVE*R$55*IF(Scenario_Select='CBA Inputs'!$T43,1,0)</f>
        <v>0</v>
      </c>
      <c r="BD119" s="17">
        <f>IFERROR(IF(S$58&gt;='CBA Inputs'!$R43,MAX('CBA Inputs'!$O43-'CBA Inputs'!$O43/'CBA Inputs'!$S43*(S$58-'CBA Inputs'!$R43+1),0),0)*IF(S$58=FirstYear+AnalysisPeriod-1,1,0),0)*CapitalCost_ACTIVE*S$55*IF(Scenario_Select='CBA Inputs'!$T43,1,0)</f>
        <v>0</v>
      </c>
      <c r="BE119" s="17">
        <f>IFERROR(IF(T$58&gt;='CBA Inputs'!$R43,MAX('CBA Inputs'!$O43-'CBA Inputs'!$O43/'CBA Inputs'!$S43*(T$58-'CBA Inputs'!$R43+1),0),0)*IF(T$58=FirstYear+AnalysisPeriod-1,1,0),0)*CapitalCost_ACTIVE*T$55*IF(Scenario_Select='CBA Inputs'!$T43,1,0)</f>
        <v>0</v>
      </c>
      <c r="BF119" s="17">
        <f>IFERROR(IF(U$58&gt;='CBA Inputs'!$R43,MAX('CBA Inputs'!$O43-'CBA Inputs'!$O43/'CBA Inputs'!$S43*(U$58-'CBA Inputs'!$R43+1),0),0)*IF(U$58=FirstYear+AnalysisPeriod-1,1,0),0)*CapitalCost_ACTIVE*U$55*IF(Scenario_Select='CBA Inputs'!$T43,1,0)</f>
        <v>0</v>
      </c>
      <c r="BG119" s="17">
        <f>IFERROR(IF(V$58&gt;='CBA Inputs'!$R43,MAX('CBA Inputs'!$O43-'CBA Inputs'!$O43/'CBA Inputs'!$S43*(V$58-'CBA Inputs'!$R43+1),0),0)*IF(V$58=FirstYear+AnalysisPeriod-1,1,0),0)*CapitalCost_ACTIVE*V$55*IF(Scenario_Select='CBA Inputs'!$T43,1,0)</f>
        <v>0</v>
      </c>
      <c r="BH119" s="17">
        <f>IFERROR(IF(W$58&gt;='CBA Inputs'!$R43,MAX('CBA Inputs'!$O43-'CBA Inputs'!$O43/'CBA Inputs'!$S43*(W$58-'CBA Inputs'!$R43+1),0),0)*IF(W$58=FirstYear+AnalysisPeriod-1,1,0),0)*CapitalCost_ACTIVE*W$55*IF(Scenario_Select='CBA Inputs'!$T43,1,0)</f>
        <v>0</v>
      </c>
      <c r="BI119" s="17">
        <f>IFERROR(IF(X$58&gt;='CBA Inputs'!$R43,MAX('CBA Inputs'!$O43-'CBA Inputs'!$O43/'CBA Inputs'!$S43*(X$58-'CBA Inputs'!$R43+1),0),0)*IF(X$58=FirstYear+AnalysisPeriod-1,1,0),0)*CapitalCost_ACTIVE*X$55*IF(Scenario_Select='CBA Inputs'!$T43,1,0)</f>
        <v>0</v>
      </c>
      <c r="BJ119" s="17">
        <f>IFERROR(IF(Y$58&gt;='CBA Inputs'!$R43,MAX('CBA Inputs'!$O43-'CBA Inputs'!$O43/'CBA Inputs'!$S43*(Y$58-'CBA Inputs'!$R43+1),0),0)*IF(Y$58=FirstYear+AnalysisPeriod-1,1,0),0)*CapitalCost_ACTIVE*Y$55*IF(Scenario_Select='CBA Inputs'!$T43,1,0)</f>
        <v>0</v>
      </c>
      <c r="BK119" s="17">
        <f>IFERROR(IF(Z$58&gt;='CBA Inputs'!$R43,MAX('CBA Inputs'!$O43-'CBA Inputs'!$O43/'CBA Inputs'!$S43*(Z$58-'CBA Inputs'!$R43+1),0),0)*IF(Z$58=FirstYear+AnalysisPeriod-1,1,0),0)*CapitalCost_ACTIVE*Z$55*IF(Scenario_Select='CBA Inputs'!$T43,1,0)</f>
        <v>0</v>
      </c>
      <c r="BL119" s="17">
        <f>IFERROR(IF(AA$58&gt;='CBA Inputs'!$R43,MAX('CBA Inputs'!$O43-'CBA Inputs'!$O43/'CBA Inputs'!$S43*(AA$58-'CBA Inputs'!$R43+1),0),0)*IF(AA$58=FirstYear+AnalysisPeriod-1,1,0),0)*CapitalCost_ACTIVE*AA$55*IF(Scenario_Select='CBA Inputs'!$T43,1,0)</f>
        <v>0</v>
      </c>
      <c r="BM119" s="17">
        <f>IFERROR(IF(AB$58&gt;='CBA Inputs'!$R43,MAX('CBA Inputs'!$O43-'CBA Inputs'!$O43/'CBA Inputs'!$S43*(AB$58-'CBA Inputs'!$R43+1),0),0)*IF(AB$58=FirstYear+AnalysisPeriod-1,1,0),0)*CapitalCost_ACTIVE*AB$55*IF(Scenario_Select='CBA Inputs'!$T43,1,0)</f>
        <v>0</v>
      </c>
      <c r="BN119" s="17">
        <f>IFERROR(IF(AC$58&gt;='CBA Inputs'!$R43,MAX('CBA Inputs'!$O43-'CBA Inputs'!$O43/'CBA Inputs'!$S43*(AC$58-'CBA Inputs'!$R43+1),0),0)*IF(AC$58=FirstYear+AnalysisPeriod-1,1,0),0)*CapitalCost_ACTIVE*AC$55*IF(Scenario_Select='CBA Inputs'!$T43,1,0)</f>
        <v>0</v>
      </c>
      <c r="BO119" s="17">
        <f>IFERROR(IF(AD$58&gt;='CBA Inputs'!$R43,MAX('CBA Inputs'!$O43-'CBA Inputs'!$O43/'CBA Inputs'!$S43*(AD$58-'CBA Inputs'!$R43+1),0),0)*IF(AD$58=FirstYear+AnalysisPeriod-1,1,0),0)*CapitalCost_ACTIVE*AD$55*IF(Scenario_Select='CBA Inputs'!$T43,1,0)</f>
        <v>0</v>
      </c>
      <c r="BP119" s="17">
        <f>IFERROR(IF(AE$58&gt;='CBA Inputs'!$R43,MAX('CBA Inputs'!$O43-'CBA Inputs'!$O43/'CBA Inputs'!$S43*(AE$58-'CBA Inputs'!$R43+1),0),0)*IF(AE$58=FirstYear+AnalysisPeriod-1,1,0),0)*CapitalCost_ACTIVE*AE$55*IF(Scenario_Select='CBA Inputs'!$T43,1,0)</f>
        <v>0</v>
      </c>
      <c r="BQ119" s="17">
        <f>IFERROR(IF(AF$58&gt;='CBA Inputs'!$R43,MAX('CBA Inputs'!$O43-'CBA Inputs'!$O43/'CBA Inputs'!$S43*(AF$58-'CBA Inputs'!$R43+1),0),0)*IF(AF$58=FirstYear+AnalysisPeriod-1,1,0),0)*CapitalCost_ACTIVE*AF$55*IF(Scenario_Select='CBA Inputs'!$T43,1,0)</f>
        <v>0</v>
      </c>
      <c r="BR119" s="17">
        <f>IFERROR(IF(AG$58&gt;='CBA Inputs'!$R43,MAX('CBA Inputs'!$O43-'CBA Inputs'!$O43/'CBA Inputs'!$S43*(AG$58-'CBA Inputs'!$R43+1),0),0)*IF(AG$58=FirstYear+AnalysisPeriod-1,1,0),0)*CapitalCost_ACTIVE*AG$55*IF(Scenario_Select='CBA Inputs'!$T43,1,0)</f>
        <v>0</v>
      </c>
      <c r="BS119" s="17">
        <f>IFERROR(IF(AH$58&gt;='CBA Inputs'!$R43,MAX('CBA Inputs'!$O43-'CBA Inputs'!$O43/'CBA Inputs'!$S43*(AH$58-'CBA Inputs'!$R43+1),0),0)*IF(AH$58=FirstYear+AnalysisPeriod-1,1,0),0)*CapitalCost_ACTIVE*AH$55*IF(Scenario_Select='CBA Inputs'!$T43,1,0)</f>
        <v>0</v>
      </c>
      <c r="BT119" s="17">
        <f>IFERROR(IF(AI$58&gt;='CBA Inputs'!$R43,MAX('CBA Inputs'!$O43-'CBA Inputs'!$O43/'CBA Inputs'!$S43*(AI$58-'CBA Inputs'!$R43+1),0),0)*IF(AI$58=FirstYear+AnalysisPeriod-1,1,0),0)*CapitalCost_ACTIVE*AI$55*IF(Scenario_Select='CBA Inputs'!$T43,1,0)</f>
        <v>0</v>
      </c>
      <c r="BU119" s="17">
        <f>IFERROR(IF(AJ$58&gt;='CBA Inputs'!$R43,MAX('CBA Inputs'!$O43-'CBA Inputs'!$O43/'CBA Inputs'!$S43*(AJ$58-'CBA Inputs'!$R43+1),0),0)*IF(AJ$58=FirstYear+AnalysisPeriod-1,1,0),0)*CapitalCost_ACTIVE*AJ$55*IF(Scenario_Select='CBA Inputs'!$T43,1,0)</f>
        <v>0</v>
      </c>
    </row>
    <row r="120" spans="2:73" x14ac:dyDescent="0.35">
      <c r="B120" s="9">
        <f t="shared" si="30"/>
        <v>11</v>
      </c>
      <c r="C120" s="26" t="str">
        <f t="shared" si="30"/>
        <v>Option 4B</v>
      </c>
      <c r="D120" s="26" t="str">
        <f t="shared" si="33"/>
        <v>Lines</v>
      </c>
      <c r="E120" s="12" t="s">
        <v>35</v>
      </c>
      <c r="F120" s="18">
        <f t="shared" si="34"/>
        <v>48952891.994564787</v>
      </c>
      <c r="G120" s="17">
        <f>IFERROR(IF(G$58&gt;='CBA Inputs'!$H44,MAX('CBA Inputs'!$E44-'CBA Inputs'!$E44/'CBA Inputs'!$I44*(G$58-'CBA Inputs'!$H44+1),0),0)*IF(G$58=FirstYear+AnalysisPeriod-1,1,0),0)*CapitalCost_ACTIVE*G$55</f>
        <v>0</v>
      </c>
      <c r="H120" s="17">
        <f>IFERROR(IF(H$58&gt;='CBA Inputs'!$H44,MAX('CBA Inputs'!$E44-'CBA Inputs'!$E44/'CBA Inputs'!$I44*(H$58-'CBA Inputs'!$H44+1),0),0)*IF(H$58=FirstYear+AnalysisPeriod-1,1,0),0)*CapitalCost_ACTIVE*H$55</f>
        <v>0</v>
      </c>
      <c r="I120" s="17">
        <f>IFERROR(IF(I$58&gt;='CBA Inputs'!$H44,MAX('CBA Inputs'!$E44-'CBA Inputs'!$E44/'CBA Inputs'!$I44*(I$58-'CBA Inputs'!$H44+1),0),0)*IF(I$58=FirstYear+AnalysisPeriod-1,1,0),0)*CapitalCost_ACTIVE*I$55</f>
        <v>0</v>
      </c>
      <c r="J120" s="17">
        <f>IFERROR(IF(J$58&gt;='CBA Inputs'!$H44,MAX('CBA Inputs'!$E44-'CBA Inputs'!$E44/'CBA Inputs'!$I44*(J$58-'CBA Inputs'!$H44+1),0),0)*IF(J$58=FirstYear+AnalysisPeriod-1,1,0),0)*CapitalCost_ACTIVE*J$55</f>
        <v>0</v>
      </c>
      <c r="K120" s="17">
        <f>IFERROR(IF(K$58&gt;='CBA Inputs'!$H44,MAX('CBA Inputs'!$E44-'CBA Inputs'!$E44/'CBA Inputs'!$I44*(K$58-'CBA Inputs'!$H44+1),0),0)*IF(K$58=FirstYear+AnalysisPeriod-1,1,0),0)*CapitalCost_ACTIVE*K$55</f>
        <v>0</v>
      </c>
      <c r="L120" s="17">
        <f>IFERROR(IF(L$58&gt;='CBA Inputs'!$H44,MAX('CBA Inputs'!$E44-'CBA Inputs'!$E44/'CBA Inputs'!$I44*(L$58-'CBA Inputs'!$H44+1),0),0)*IF(L$58=FirstYear+AnalysisPeriod-1,1,0),0)*CapitalCost_ACTIVE*L$55</f>
        <v>0</v>
      </c>
      <c r="M120" s="17">
        <f>IFERROR(IF(M$58&gt;='CBA Inputs'!$H44,MAX('CBA Inputs'!$E44-'CBA Inputs'!$E44/'CBA Inputs'!$I44*(M$58-'CBA Inputs'!$H44+1),0),0)*IF(M$58=FirstYear+AnalysisPeriod-1,1,0),0)*CapitalCost_ACTIVE*M$55</f>
        <v>0</v>
      </c>
      <c r="N120" s="17">
        <f>IFERROR(IF(N$58&gt;='CBA Inputs'!$H44,MAX('CBA Inputs'!$E44-'CBA Inputs'!$E44/'CBA Inputs'!$I44*(N$58-'CBA Inputs'!$H44+1),0),0)*IF(N$58=FirstYear+AnalysisPeriod-1,1,0),0)*CapitalCost_ACTIVE*N$55</f>
        <v>0</v>
      </c>
      <c r="O120" s="17">
        <f>IFERROR(IF(O$58&gt;='CBA Inputs'!$H44,MAX('CBA Inputs'!$E44-'CBA Inputs'!$E44/'CBA Inputs'!$I44*(O$58-'CBA Inputs'!$H44+1),0),0)*IF(O$58=FirstYear+AnalysisPeriod-1,1,0),0)*CapitalCost_ACTIVE*O$55</f>
        <v>0</v>
      </c>
      <c r="P120" s="17">
        <f>IFERROR(IF(P$58&gt;='CBA Inputs'!$H44,MAX('CBA Inputs'!$E44-'CBA Inputs'!$E44/'CBA Inputs'!$I44*(P$58-'CBA Inputs'!$H44+1),0),0)*IF(P$58=FirstYear+AnalysisPeriod-1,1,0),0)*CapitalCost_ACTIVE*P$55</f>
        <v>0</v>
      </c>
      <c r="Q120" s="17">
        <f>IFERROR(IF(Q$58&gt;='CBA Inputs'!$H44,MAX('CBA Inputs'!$E44-'CBA Inputs'!$E44/'CBA Inputs'!$I44*(Q$58-'CBA Inputs'!$H44+1),0),0)*IF(Q$58=FirstYear+AnalysisPeriod-1,1,0),0)*CapitalCost_ACTIVE*Q$55</f>
        <v>0</v>
      </c>
      <c r="R120" s="17">
        <f>IFERROR(IF(R$58&gt;='CBA Inputs'!$H44,MAX('CBA Inputs'!$E44-'CBA Inputs'!$E44/'CBA Inputs'!$I44*(R$58-'CBA Inputs'!$H44+1),0),0)*IF(R$58=FirstYear+AnalysisPeriod-1,1,0),0)*CapitalCost_ACTIVE*R$55</f>
        <v>0</v>
      </c>
      <c r="S120" s="17">
        <f>IFERROR(IF(S$58&gt;='CBA Inputs'!$H44,MAX('CBA Inputs'!$E44-'CBA Inputs'!$E44/'CBA Inputs'!$I44*(S$58-'CBA Inputs'!$H44+1),0),0)*IF(S$58=FirstYear+AnalysisPeriod-1,1,0),0)*CapitalCost_ACTIVE*S$55</f>
        <v>0</v>
      </c>
      <c r="T120" s="17">
        <f>IFERROR(IF(T$58&gt;='CBA Inputs'!$H44,MAX('CBA Inputs'!$E44-'CBA Inputs'!$E44/'CBA Inputs'!$I44*(T$58-'CBA Inputs'!$H44+1),0),0)*IF(T$58=FirstYear+AnalysisPeriod-1,1,0),0)*CapitalCost_ACTIVE*T$55</f>
        <v>0</v>
      </c>
      <c r="U120" s="17">
        <f>IFERROR(IF(U$58&gt;='CBA Inputs'!$H44,MAX('CBA Inputs'!$E44-'CBA Inputs'!$E44/'CBA Inputs'!$I44*(U$58-'CBA Inputs'!$H44+1),0),0)*IF(U$58=FirstYear+AnalysisPeriod-1,1,0),0)*CapitalCost_ACTIVE*U$55</f>
        <v>0</v>
      </c>
      <c r="V120" s="17">
        <f>IFERROR(IF(V$58&gt;='CBA Inputs'!$H44,MAX('CBA Inputs'!$E44-'CBA Inputs'!$E44/'CBA Inputs'!$I44*(V$58-'CBA Inputs'!$H44+1),0),0)*IF(V$58=FirstYear+AnalysisPeriod-1,1,0),0)*CapitalCost_ACTIVE*V$55</f>
        <v>0</v>
      </c>
      <c r="W120" s="17">
        <f>IFERROR(IF(W$58&gt;='CBA Inputs'!$H44,MAX('CBA Inputs'!$E44-'CBA Inputs'!$E44/'CBA Inputs'!$I44*(W$58-'CBA Inputs'!$H44+1),0),0)*IF(W$58=FirstYear+AnalysisPeriod-1,1,0),0)*CapitalCost_ACTIVE*W$55</f>
        <v>0</v>
      </c>
      <c r="X120" s="17">
        <f>IFERROR(IF(X$58&gt;='CBA Inputs'!$H44,MAX('CBA Inputs'!$E44-'CBA Inputs'!$E44/'CBA Inputs'!$I44*(X$58-'CBA Inputs'!$H44+1),0),0)*IF(X$58=FirstYear+AnalysisPeriod-1,1,0),0)*CapitalCost_ACTIVE*X$55</f>
        <v>0</v>
      </c>
      <c r="Y120" s="17">
        <f>IFERROR(IF(Y$58&gt;='CBA Inputs'!$H44,MAX('CBA Inputs'!$E44-'CBA Inputs'!$E44/'CBA Inputs'!$I44*(Y$58-'CBA Inputs'!$H44+1),0),0)*IF(Y$58=FirstYear+AnalysisPeriod-1,1,0),0)*CapitalCost_ACTIVE*Y$55</f>
        <v>0</v>
      </c>
      <c r="Z120" s="17">
        <f>IFERROR(IF(Z$58&gt;='CBA Inputs'!$H44,MAX('CBA Inputs'!$E44-'CBA Inputs'!$E44/'CBA Inputs'!$I44*(Z$58-'CBA Inputs'!$H44+1),0),0)*IF(Z$58=FirstYear+AnalysisPeriod-1,1,0),0)*CapitalCost_ACTIVE*Z$55</f>
        <v>0</v>
      </c>
      <c r="AA120" s="17">
        <f>IFERROR(IF(AA$58&gt;='CBA Inputs'!$H44,MAX('CBA Inputs'!$E44-'CBA Inputs'!$E44/'CBA Inputs'!$I44*(AA$58-'CBA Inputs'!$H44+1),0),0)*IF(AA$58=FirstYear+AnalysisPeriod-1,1,0),0)*CapitalCost_ACTIVE*AA$55</f>
        <v>0</v>
      </c>
      <c r="AB120" s="17">
        <f>IFERROR(IF(AB$58&gt;='CBA Inputs'!$H44,MAX('CBA Inputs'!$E44-'CBA Inputs'!$E44/'CBA Inputs'!$I44*(AB$58-'CBA Inputs'!$H44+1),0),0)*IF(AB$58=FirstYear+AnalysisPeriod-1,1,0),0)*CapitalCost_ACTIVE*AB$55</f>
        <v>0</v>
      </c>
      <c r="AC120" s="17">
        <f>IFERROR(IF(AC$58&gt;='CBA Inputs'!$H44,MAX('CBA Inputs'!$E44-'CBA Inputs'!$E44/'CBA Inputs'!$I44*(AC$58-'CBA Inputs'!$H44+1),0),0)*IF(AC$58=FirstYear+AnalysisPeriod-1,1,0),0)*CapitalCost_ACTIVE*AC$55</f>
        <v>0</v>
      </c>
      <c r="AD120" s="17">
        <f>IFERROR(IF(AD$58&gt;='CBA Inputs'!$H44,MAX('CBA Inputs'!$E44-'CBA Inputs'!$E44/'CBA Inputs'!$I44*(AD$58-'CBA Inputs'!$H44+1),0),0)*IF(AD$58=FirstYear+AnalysisPeriod-1,1,0),0)*CapitalCost_ACTIVE*AD$55</f>
        <v>0</v>
      </c>
      <c r="AE120" s="17">
        <f>IFERROR(IF(AE$58&gt;='CBA Inputs'!$H44,MAX('CBA Inputs'!$E44-'CBA Inputs'!$E44/'CBA Inputs'!$I44*(AE$58-'CBA Inputs'!$H44+1),0),0)*IF(AE$58=FirstYear+AnalysisPeriod-1,1,0),0)*CapitalCost_ACTIVE*AE$55</f>
        <v>0</v>
      </c>
      <c r="AF120" s="17">
        <f>IFERROR(IF(AF$58&gt;='CBA Inputs'!$H44,MAX('CBA Inputs'!$E44-'CBA Inputs'!$E44/'CBA Inputs'!$I44*(AF$58-'CBA Inputs'!$H44+1),0),0)*IF(AF$58=FirstYear+AnalysisPeriod-1,1,0),0)*CapitalCost_ACTIVE*AF$55</f>
        <v>205200000</v>
      </c>
      <c r="AG120" s="17">
        <f>IFERROR(IF(AG$58&gt;='CBA Inputs'!$H44,MAX('CBA Inputs'!$E44-'CBA Inputs'!$E44/'CBA Inputs'!$I44*(AG$58-'CBA Inputs'!$H44+1),0),0)*IF(AG$58=FirstYear+AnalysisPeriod-1,1,0),0)*CapitalCost_ACTIVE*AG$55</f>
        <v>0</v>
      </c>
      <c r="AH120" s="17">
        <f>IFERROR(IF(AH$58&gt;='CBA Inputs'!$H44,MAX('CBA Inputs'!$E44-'CBA Inputs'!$E44/'CBA Inputs'!$I44*(AH$58-'CBA Inputs'!$H44+1),0),0)*IF(AH$58=FirstYear+AnalysisPeriod-1,1,0),0)*CapitalCost_ACTIVE*AH$55</f>
        <v>0</v>
      </c>
      <c r="AI120" s="17">
        <f>IFERROR(IF(AI$58&gt;='CBA Inputs'!$H44,MAX('CBA Inputs'!$E44-'CBA Inputs'!$E44/'CBA Inputs'!$I44*(AI$58-'CBA Inputs'!$H44+1),0),0)*IF(AI$58=FirstYear+AnalysisPeriod-1,1,0),0)*CapitalCost_ACTIVE*AI$55</f>
        <v>0</v>
      </c>
      <c r="AJ120" s="17">
        <f>IFERROR(IF(AJ$58&gt;='CBA Inputs'!$H44,MAX('CBA Inputs'!$E44-'CBA Inputs'!$E44/'CBA Inputs'!$I44*(AJ$58-'CBA Inputs'!$H44+1),0),0)*IF(AJ$58=FirstYear+AnalysisPeriod-1,1,0),0)*CapitalCost_ACTIVE*AJ$55</f>
        <v>0</v>
      </c>
      <c r="AM120" s="9" t="str">
        <f t="shared" si="35"/>
        <v/>
      </c>
      <c r="AN120" s="26">
        <f t="shared" si="35"/>
        <v>0</v>
      </c>
      <c r="AO120" s="26">
        <f t="shared" si="35"/>
        <v>0</v>
      </c>
      <c r="AP120" s="12" t="s">
        <v>35</v>
      </c>
      <c r="AQ120" s="18">
        <f t="shared" si="36"/>
        <v>0</v>
      </c>
      <c r="AR120" s="17">
        <f>IFERROR(IF(G$58&gt;='CBA Inputs'!$R44,MAX('CBA Inputs'!$O44-'CBA Inputs'!$O44/'CBA Inputs'!$S44*(G$58-'CBA Inputs'!$R44+1),0),0)*IF(G$58=FirstYear+AnalysisPeriod-1,1,0),0)*CapitalCost_ACTIVE*G$55*IF(Scenario_Select='CBA Inputs'!$T44,1,0)</f>
        <v>0</v>
      </c>
      <c r="AS120" s="17">
        <f>IFERROR(IF(H$58&gt;='CBA Inputs'!$R44,MAX('CBA Inputs'!$O44-'CBA Inputs'!$O44/'CBA Inputs'!$S44*(H$58-'CBA Inputs'!$R44+1),0),0)*IF(H$58=FirstYear+AnalysisPeriod-1,1,0),0)*CapitalCost_ACTIVE*H$55*IF(Scenario_Select='CBA Inputs'!$T44,1,0)</f>
        <v>0</v>
      </c>
      <c r="AT120" s="17">
        <f>IFERROR(IF(I$58&gt;='CBA Inputs'!$R44,MAX('CBA Inputs'!$O44-'CBA Inputs'!$O44/'CBA Inputs'!$S44*(I$58-'CBA Inputs'!$R44+1),0),0)*IF(I$58=FirstYear+AnalysisPeriod-1,1,0),0)*CapitalCost_ACTIVE*I$55*IF(Scenario_Select='CBA Inputs'!$T44,1,0)</f>
        <v>0</v>
      </c>
      <c r="AU120" s="17">
        <f>IFERROR(IF(J$58&gt;='CBA Inputs'!$R44,MAX('CBA Inputs'!$O44-'CBA Inputs'!$O44/'CBA Inputs'!$S44*(J$58-'CBA Inputs'!$R44+1),0),0)*IF(J$58=FirstYear+AnalysisPeriod-1,1,0),0)*CapitalCost_ACTIVE*J$55*IF(Scenario_Select='CBA Inputs'!$T44,1,0)</f>
        <v>0</v>
      </c>
      <c r="AV120" s="17">
        <f>IFERROR(IF(K$58&gt;='CBA Inputs'!$R44,MAX('CBA Inputs'!$O44-'CBA Inputs'!$O44/'CBA Inputs'!$S44*(K$58-'CBA Inputs'!$R44+1),0),0)*IF(K$58=FirstYear+AnalysisPeriod-1,1,0),0)*CapitalCost_ACTIVE*K$55*IF(Scenario_Select='CBA Inputs'!$T44,1,0)</f>
        <v>0</v>
      </c>
      <c r="AW120" s="17">
        <f>IFERROR(IF(L$58&gt;='CBA Inputs'!$R44,MAX('CBA Inputs'!$O44-'CBA Inputs'!$O44/'CBA Inputs'!$S44*(L$58-'CBA Inputs'!$R44+1),0),0)*IF(L$58=FirstYear+AnalysisPeriod-1,1,0),0)*CapitalCost_ACTIVE*L$55*IF(Scenario_Select='CBA Inputs'!$T44,1,0)</f>
        <v>0</v>
      </c>
      <c r="AX120" s="17">
        <f>IFERROR(IF(M$58&gt;='CBA Inputs'!$R44,MAX('CBA Inputs'!$O44-'CBA Inputs'!$O44/'CBA Inputs'!$S44*(M$58-'CBA Inputs'!$R44+1),0),0)*IF(M$58=FirstYear+AnalysisPeriod-1,1,0),0)*CapitalCost_ACTIVE*M$55*IF(Scenario_Select='CBA Inputs'!$T44,1,0)</f>
        <v>0</v>
      </c>
      <c r="AY120" s="17">
        <f>IFERROR(IF(N$58&gt;='CBA Inputs'!$R44,MAX('CBA Inputs'!$O44-'CBA Inputs'!$O44/'CBA Inputs'!$S44*(N$58-'CBA Inputs'!$R44+1),0),0)*IF(N$58=FirstYear+AnalysisPeriod-1,1,0),0)*CapitalCost_ACTIVE*N$55*IF(Scenario_Select='CBA Inputs'!$T44,1,0)</f>
        <v>0</v>
      </c>
      <c r="AZ120" s="17">
        <f>IFERROR(IF(O$58&gt;='CBA Inputs'!$R44,MAX('CBA Inputs'!$O44-'CBA Inputs'!$O44/'CBA Inputs'!$S44*(O$58-'CBA Inputs'!$R44+1),0),0)*IF(O$58=FirstYear+AnalysisPeriod-1,1,0),0)*CapitalCost_ACTIVE*O$55*IF(Scenario_Select='CBA Inputs'!$T44,1,0)</f>
        <v>0</v>
      </c>
      <c r="BA120" s="17">
        <f>IFERROR(IF(P$58&gt;='CBA Inputs'!$R44,MAX('CBA Inputs'!$O44-'CBA Inputs'!$O44/'CBA Inputs'!$S44*(P$58-'CBA Inputs'!$R44+1),0),0)*IF(P$58=FirstYear+AnalysisPeriod-1,1,0),0)*CapitalCost_ACTIVE*P$55*IF(Scenario_Select='CBA Inputs'!$T44,1,0)</f>
        <v>0</v>
      </c>
      <c r="BB120" s="17">
        <f>IFERROR(IF(Q$58&gt;='CBA Inputs'!$R44,MAX('CBA Inputs'!$O44-'CBA Inputs'!$O44/'CBA Inputs'!$S44*(Q$58-'CBA Inputs'!$R44+1),0),0)*IF(Q$58=FirstYear+AnalysisPeriod-1,1,0),0)*CapitalCost_ACTIVE*Q$55*IF(Scenario_Select='CBA Inputs'!$T44,1,0)</f>
        <v>0</v>
      </c>
      <c r="BC120" s="17">
        <f>IFERROR(IF(R$58&gt;='CBA Inputs'!$R44,MAX('CBA Inputs'!$O44-'CBA Inputs'!$O44/'CBA Inputs'!$S44*(R$58-'CBA Inputs'!$R44+1),0),0)*IF(R$58=FirstYear+AnalysisPeriod-1,1,0),0)*CapitalCost_ACTIVE*R$55*IF(Scenario_Select='CBA Inputs'!$T44,1,0)</f>
        <v>0</v>
      </c>
      <c r="BD120" s="17">
        <f>IFERROR(IF(S$58&gt;='CBA Inputs'!$R44,MAX('CBA Inputs'!$O44-'CBA Inputs'!$O44/'CBA Inputs'!$S44*(S$58-'CBA Inputs'!$R44+1),0),0)*IF(S$58=FirstYear+AnalysisPeriod-1,1,0),0)*CapitalCost_ACTIVE*S$55*IF(Scenario_Select='CBA Inputs'!$T44,1,0)</f>
        <v>0</v>
      </c>
      <c r="BE120" s="17">
        <f>IFERROR(IF(T$58&gt;='CBA Inputs'!$R44,MAX('CBA Inputs'!$O44-'CBA Inputs'!$O44/'CBA Inputs'!$S44*(T$58-'CBA Inputs'!$R44+1),0),0)*IF(T$58=FirstYear+AnalysisPeriod-1,1,0),0)*CapitalCost_ACTIVE*T$55*IF(Scenario_Select='CBA Inputs'!$T44,1,0)</f>
        <v>0</v>
      </c>
      <c r="BF120" s="17">
        <f>IFERROR(IF(U$58&gt;='CBA Inputs'!$R44,MAX('CBA Inputs'!$O44-'CBA Inputs'!$O44/'CBA Inputs'!$S44*(U$58-'CBA Inputs'!$R44+1),0),0)*IF(U$58=FirstYear+AnalysisPeriod-1,1,0),0)*CapitalCost_ACTIVE*U$55*IF(Scenario_Select='CBA Inputs'!$T44,1,0)</f>
        <v>0</v>
      </c>
      <c r="BG120" s="17">
        <f>IFERROR(IF(V$58&gt;='CBA Inputs'!$R44,MAX('CBA Inputs'!$O44-'CBA Inputs'!$O44/'CBA Inputs'!$S44*(V$58-'CBA Inputs'!$R44+1),0),0)*IF(V$58=FirstYear+AnalysisPeriod-1,1,0),0)*CapitalCost_ACTIVE*V$55*IF(Scenario_Select='CBA Inputs'!$T44,1,0)</f>
        <v>0</v>
      </c>
      <c r="BH120" s="17">
        <f>IFERROR(IF(W$58&gt;='CBA Inputs'!$R44,MAX('CBA Inputs'!$O44-'CBA Inputs'!$O44/'CBA Inputs'!$S44*(W$58-'CBA Inputs'!$R44+1),0),0)*IF(W$58=FirstYear+AnalysisPeriod-1,1,0),0)*CapitalCost_ACTIVE*W$55*IF(Scenario_Select='CBA Inputs'!$T44,1,0)</f>
        <v>0</v>
      </c>
      <c r="BI120" s="17">
        <f>IFERROR(IF(X$58&gt;='CBA Inputs'!$R44,MAX('CBA Inputs'!$O44-'CBA Inputs'!$O44/'CBA Inputs'!$S44*(X$58-'CBA Inputs'!$R44+1),0),0)*IF(X$58=FirstYear+AnalysisPeriod-1,1,0),0)*CapitalCost_ACTIVE*X$55*IF(Scenario_Select='CBA Inputs'!$T44,1,0)</f>
        <v>0</v>
      </c>
      <c r="BJ120" s="17">
        <f>IFERROR(IF(Y$58&gt;='CBA Inputs'!$R44,MAX('CBA Inputs'!$O44-'CBA Inputs'!$O44/'CBA Inputs'!$S44*(Y$58-'CBA Inputs'!$R44+1),0),0)*IF(Y$58=FirstYear+AnalysisPeriod-1,1,0),0)*CapitalCost_ACTIVE*Y$55*IF(Scenario_Select='CBA Inputs'!$T44,1,0)</f>
        <v>0</v>
      </c>
      <c r="BK120" s="17">
        <f>IFERROR(IF(Z$58&gt;='CBA Inputs'!$R44,MAX('CBA Inputs'!$O44-'CBA Inputs'!$O44/'CBA Inputs'!$S44*(Z$58-'CBA Inputs'!$R44+1),0),0)*IF(Z$58=FirstYear+AnalysisPeriod-1,1,0),0)*CapitalCost_ACTIVE*Z$55*IF(Scenario_Select='CBA Inputs'!$T44,1,0)</f>
        <v>0</v>
      </c>
      <c r="BL120" s="17">
        <f>IFERROR(IF(AA$58&gt;='CBA Inputs'!$R44,MAX('CBA Inputs'!$O44-'CBA Inputs'!$O44/'CBA Inputs'!$S44*(AA$58-'CBA Inputs'!$R44+1),0),0)*IF(AA$58=FirstYear+AnalysisPeriod-1,1,0),0)*CapitalCost_ACTIVE*AA$55*IF(Scenario_Select='CBA Inputs'!$T44,1,0)</f>
        <v>0</v>
      </c>
      <c r="BM120" s="17">
        <f>IFERROR(IF(AB$58&gt;='CBA Inputs'!$R44,MAX('CBA Inputs'!$O44-'CBA Inputs'!$O44/'CBA Inputs'!$S44*(AB$58-'CBA Inputs'!$R44+1),0),0)*IF(AB$58=FirstYear+AnalysisPeriod-1,1,0),0)*CapitalCost_ACTIVE*AB$55*IF(Scenario_Select='CBA Inputs'!$T44,1,0)</f>
        <v>0</v>
      </c>
      <c r="BN120" s="17">
        <f>IFERROR(IF(AC$58&gt;='CBA Inputs'!$R44,MAX('CBA Inputs'!$O44-'CBA Inputs'!$O44/'CBA Inputs'!$S44*(AC$58-'CBA Inputs'!$R44+1),0),0)*IF(AC$58=FirstYear+AnalysisPeriod-1,1,0),0)*CapitalCost_ACTIVE*AC$55*IF(Scenario_Select='CBA Inputs'!$T44,1,0)</f>
        <v>0</v>
      </c>
      <c r="BO120" s="17">
        <f>IFERROR(IF(AD$58&gt;='CBA Inputs'!$R44,MAX('CBA Inputs'!$O44-'CBA Inputs'!$O44/'CBA Inputs'!$S44*(AD$58-'CBA Inputs'!$R44+1),0),0)*IF(AD$58=FirstYear+AnalysisPeriod-1,1,0),0)*CapitalCost_ACTIVE*AD$55*IF(Scenario_Select='CBA Inputs'!$T44,1,0)</f>
        <v>0</v>
      </c>
      <c r="BP120" s="17">
        <f>IFERROR(IF(AE$58&gt;='CBA Inputs'!$R44,MAX('CBA Inputs'!$O44-'CBA Inputs'!$O44/'CBA Inputs'!$S44*(AE$58-'CBA Inputs'!$R44+1),0),0)*IF(AE$58=FirstYear+AnalysisPeriod-1,1,0),0)*CapitalCost_ACTIVE*AE$55*IF(Scenario_Select='CBA Inputs'!$T44,1,0)</f>
        <v>0</v>
      </c>
      <c r="BQ120" s="17">
        <f>IFERROR(IF(AF$58&gt;='CBA Inputs'!$R44,MAX('CBA Inputs'!$O44-'CBA Inputs'!$O44/'CBA Inputs'!$S44*(AF$58-'CBA Inputs'!$R44+1),0),0)*IF(AF$58=FirstYear+AnalysisPeriod-1,1,0),0)*CapitalCost_ACTIVE*AF$55*IF(Scenario_Select='CBA Inputs'!$T44,1,0)</f>
        <v>0</v>
      </c>
      <c r="BR120" s="17">
        <f>IFERROR(IF(AG$58&gt;='CBA Inputs'!$R44,MAX('CBA Inputs'!$O44-'CBA Inputs'!$O44/'CBA Inputs'!$S44*(AG$58-'CBA Inputs'!$R44+1),0),0)*IF(AG$58=FirstYear+AnalysisPeriod-1,1,0),0)*CapitalCost_ACTIVE*AG$55*IF(Scenario_Select='CBA Inputs'!$T44,1,0)</f>
        <v>0</v>
      </c>
      <c r="BS120" s="17">
        <f>IFERROR(IF(AH$58&gt;='CBA Inputs'!$R44,MAX('CBA Inputs'!$O44-'CBA Inputs'!$O44/'CBA Inputs'!$S44*(AH$58-'CBA Inputs'!$R44+1),0),0)*IF(AH$58=FirstYear+AnalysisPeriod-1,1,0),0)*CapitalCost_ACTIVE*AH$55*IF(Scenario_Select='CBA Inputs'!$T44,1,0)</f>
        <v>0</v>
      </c>
      <c r="BT120" s="17">
        <f>IFERROR(IF(AI$58&gt;='CBA Inputs'!$R44,MAX('CBA Inputs'!$O44-'CBA Inputs'!$O44/'CBA Inputs'!$S44*(AI$58-'CBA Inputs'!$R44+1),0),0)*IF(AI$58=FirstYear+AnalysisPeriod-1,1,0),0)*CapitalCost_ACTIVE*AI$55*IF(Scenario_Select='CBA Inputs'!$T44,1,0)</f>
        <v>0</v>
      </c>
      <c r="BU120" s="17">
        <f>IFERROR(IF(AJ$58&gt;='CBA Inputs'!$R44,MAX('CBA Inputs'!$O44-'CBA Inputs'!$O44/'CBA Inputs'!$S44*(AJ$58-'CBA Inputs'!$R44+1),0),0)*IF(AJ$58=FirstYear+AnalysisPeriod-1,1,0),0)*CapitalCost_ACTIVE*AJ$55*IF(Scenario_Select='CBA Inputs'!$T44,1,0)</f>
        <v>0</v>
      </c>
    </row>
    <row r="121" spans="2:73" x14ac:dyDescent="0.35">
      <c r="B121" s="9">
        <f t="shared" si="30"/>
        <v>11</v>
      </c>
      <c r="C121" s="26" t="str">
        <f t="shared" si="30"/>
        <v>Option 4B</v>
      </c>
      <c r="D121" s="26" t="str">
        <f t="shared" si="33"/>
        <v>Substation</v>
      </c>
      <c r="E121" s="12" t="s">
        <v>35</v>
      </c>
      <c r="F121" s="18">
        <f t="shared" si="34"/>
        <v>1192809.259126822</v>
      </c>
      <c r="G121" s="17">
        <f>IFERROR(IF(G$58&gt;='CBA Inputs'!$H45,MAX('CBA Inputs'!$E45-'CBA Inputs'!$E45/'CBA Inputs'!$I45*(G$58-'CBA Inputs'!$H45+1),0),0)*IF(G$58=FirstYear+AnalysisPeriod-1,1,0),0)*CapitalCost_ACTIVE*G$55</f>
        <v>0</v>
      </c>
      <c r="H121" s="17">
        <f>IFERROR(IF(H$58&gt;='CBA Inputs'!$H45,MAX('CBA Inputs'!$E45-'CBA Inputs'!$E45/'CBA Inputs'!$I45*(H$58-'CBA Inputs'!$H45+1),0),0)*IF(H$58=FirstYear+AnalysisPeriod-1,1,0),0)*CapitalCost_ACTIVE*H$55</f>
        <v>0</v>
      </c>
      <c r="I121" s="17">
        <f>IFERROR(IF(I$58&gt;='CBA Inputs'!$H45,MAX('CBA Inputs'!$E45-'CBA Inputs'!$E45/'CBA Inputs'!$I45*(I$58-'CBA Inputs'!$H45+1),0),0)*IF(I$58=FirstYear+AnalysisPeriod-1,1,0),0)*CapitalCost_ACTIVE*I$55</f>
        <v>0</v>
      </c>
      <c r="J121" s="17">
        <f>IFERROR(IF(J$58&gt;='CBA Inputs'!$H45,MAX('CBA Inputs'!$E45-'CBA Inputs'!$E45/'CBA Inputs'!$I45*(J$58-'CBA Inputs'!$H45+1),0),0)*IF(J$58=FirstYear+AnalysisPeriod-1,1,0),0)*CapitalCost_ACTIVE*J$55</f>
        <v>0</v>
      </c>
      <c r="K121" s="17">
        <f>IFERROR(IF(K$58&gt;='CBA Inputs'!$H45,MAX('CBA Inputs'!$E45-'CBA Inputs'!$E45/'CBA Inputs'!$I45*(K$58-'CBA Inputs'!$H45+1),0),0)*IF(K$58=FirstYear+AnalysisPeriod-1,1,0),0)*CapitalCost_ACTIVE*K$55</f>
        <v>0</v>
      </c>
      <c r="L121" s="17">
        <f>IFERROR(IF(L$58&gt;='CBA Inputs'!$H45,MAX('CBA Inputs'!$E45-'CBA Inputs'!$E45/'CBA Inputs'!$I45*(L$58-'CBA Inputs'!$H45+1),0),0)*IF(L$58=FirstYear+AnalysisPeriod-1,1,0),0)*CapitalCost_ACTIVE*L$55</f>
        <v>0</v>
      </c>
      <c r="M121" s="17">
        <f>IFERROR(IF(M$58&gt;='CBA Inputs'!$H45,MAX('CBA Inputs'!$E45-'CBA Inputs'!$E45/'CBA Inputs'!$I45*(M$58-'CBA Inputs'!$H45+1),0),0)*IF(M$58=FirstYear+AnalysisPeriod-1,1,0),0)*CapitalCost_ACTIVE*M$55</f>
        <v>0</v>
      </c>
      <c r="N121" s="17">
        <f>IFERROR(IF(N$58&gt;='CBA Inputs'!$H45,MAX('CBA Inputs'!$E45-'CBA Inputs'!$E45/'CBA Inputs'!$I45*(N$58-'CBA Inputs'!$H45+1),0),0)*IF(N$58=FirstYear+AnalysisPeriod-1,1,0),0)*CapitalCost_ACTIVE*N$55</f>
        <v>0</v>
      </c>
      <c r="O121" s="17">
        <f>IFERROR(IF(O$58&gt;='CBA Inputs'!$H45,MAX('CBA Inputs'!$E45-'CBA Inputs'!$E45/'CBA Inputs'!$I45*(O$58-'CBA Inputs'!$H45+1),0),0)*IF(O$58=FirstYear+AnalysisPeriod-1,1,0),0)*CapitalCost_ACTIVE*O$55</f>
        <v>0</v>
      </c>
      <c r="P121" s="17">
        <f>IFERROR(IF(P$58&gt;='CBA Inputs'!$H45,MAX('CBA Inputs'!$E45-'CBA Inputs'!$E45/'CBA Inputs'!$I45*(P$58-'CBA Inputs'!$H45+1),0),0)*IF(P$58=FirstYear+AnalysisPeriod-1,1,0),0)*CapitalCost_ACTIVE*P$55</f>
        <v>0</v>
      </c>
      <c r="Q121" s="17">
        <f>IFERROR(IF(Q$58&gt;='CBA Inputs'!$H45,MAX('CBA Inputs'!$E45-'CBA Inputs'!$E45/'CBA Inputs'!$I45*(Q$58-'CBA Inputs'!$H45+1),0),0)*IF(Q$58=FirstYear+AnalysisPeriod-1,1,0),0)*CapitalCost_ACTIVE*Q$55</f>
        <v>0</v>
      </c>
      <c r="R121" s="17">
        <f>IFERROR(IF(R$58&gt;='CBA Inputs'!$H45,MAX('CBA Inputs'!$E45-'CBA Inputs'!$E45/'CBA Inputs'!$I45*(R$58-'CBA Inputs'!$H45+1),0),0)*IF(R$58=FirstYear+AnalysisPeriod-1,1,0),0)*CapitalCost_ACTIVE*R$55</f>
        <v>0</v>
      </c>
      <c r="S121" s="17">
        <f>IFERROR(IF(S$58&gt;='CBA Inputs'!$H45,MAX('CBA Inputs'!$E45-'CBA Inputs'!$E45/'CBA Inputs'!$I45*(S$58-'CBA Inputs'!$H45+1),0),0)*IF(S$58=FirstYear+AnalysisPeriod-1,1,0),0)*CapitalCost_ACTIVE*S$55</f>
        <v>0</v>
      </c>
      <c r="T121" s="17">
        <f>IFERROR(IF(T$58&gt;='CBA Inputs'!$H45,MAX('CBA Inputs'!$E45-'CBA Inputs'!$E45/'CBA Inputs'!$I45*(T$58-'CBA Inputs'!$H45+1),0),0)*IF(T$58=FirstYear+AnalysisPeriod-1,1,0),0)*CapitalCost_ACTIVE*T$55</f>
        <v>0</v>
      </c>
      <c r="U121" s="17">
        <f>IFERROR(IF(U$58&gt;='CBA Inputs'!$H45,MAX('CBA Inputs'!$E45-'CBA Inputs'!$E45/'CBA Inputs'!$I45*(U$58-'CBA Inputs'!$H45+1),0),0)*IF(U$58=FirstYear+AnalysisPeriod-1,1,0),0)*CapitalCost_ACTIVE*U$55</f>
        <v>0</v>
      </c>
      <c r="V121" s="17">
        <f>IFERROR(IF(V$58&gt;='CBA Inputs'!$H45,MAX('CBA Inputs'!$E45-'CBA Inputs'!$E45/'CBA Inputs'!$I45*(V$58-'CBA Inputs'!$H45+1),0),0)*IF(V$58=FirstYear+AnalysisPeriod-1,1,0),0)*CapitalCost_ACTIVE*V$55</f>
        <v>0</v>
      </c>
      <c r="W121" s="17">
        <f>IFERROR(IF(W$58&gt;='CBA Inputs'!$H45,MAX('CBA Inputs'!$E45-'CBA Inputs'!$E45/'CBA Inputs'!$I45*(W$58-'CBA Inputs'!$H45+1),0),0)*IF(W$58=FirstYear+AnalysisPeriod-1,1,0),0)*CapitalCost_ACTIVE*W$55</f>
        <v>0</v>
      </c>
      <c r="X121" s="17">
        <f>IFERROR(IF(X$58&gt;='CBA Inputs'!$H45,MAX('CBA Inputs'!$E45-'CBA Inputs'!$E45/'CBA Inputs'!$I45*(X$58-'CBA Inputs'!$H45+1),0),0)*IF(X$58=FirstYear+AnalysisPeriod-1,1,0),0)*CapitalCost_ACTIVE*X$55</f>
        <v>0</v>
      </c>
      <c r="Y121" s="17">
        <f>IFERROR(IF(Y$58&gt;='CBA Inputs'!$H45,MAX('CBA Inputs'!$E45-'CBA Inputs'!$E45/'CBA Inputs'!$I45*(Y$58-'CBA Inputs'!$H45+1),0),0)*IF(Y$58=FirstYear+AnalysisPeriod-1,1,0),0)*CapitalCost_ACTIVE*Y$55</f>
        <v>0</v>
      </c>
      <c r="Z121" s="17">
        <f>IFERROR(IF(Z$58&gt;='CBA Inputs'!$H45,MAX('CBA Inputs'!$E45-'CBA Inputs'!$E45/'CBA Inputs'!$I45*(Z$58-'CBA Inputs'!$H45+1),0),0)*IF(Z$58=FirstYear+AnalysisPeriod-1,1,0),0)*CapitalCost_ACTIVE*Z$55</f>
        <v>0</v>
      </c>
      <c r="AA121" s="17">
        <f>IFERROR(IF(AA$58&gt;='CBA Inputs'!$H45,MAX('CBA Inputs'!$E45-'CBA Inputs'!$E45/'CBA Inputs'!$I45*(AA$58-'CBA Inputs'!$H45+1),0),0)*IF(AA$58=FirstYear+AnalysisPeriod-1,1,0),0)*CapitalCost_ACTIVE*AA$55</f>
        <v>0</v>
      </c>
      <c r="AB121" s="17">
        <f>IFERROR(IF(AB$58&gt;='CBA Inputs'!$H45,MAX('CBA Inputs'!$E45-'CBA Inputs'!$E45/'CBA Inputs'!$I45*(AB$58-'CBA Inputs'!$H45+1),0),0)*IF(AB$58=FirstYear+AnalysisPeriod-1,1,0),0)*CapitalCost_ACTIVE*AB$55</f>
        <v>0</v>
      </c>
      <c r="AC121" s="17">
        <f>IFERROR(IF(AC$58&gt;='CBA Inputs'!$H45,MAX('CBA Inputs'!$E45-'CBA Inputs'!$E45/'CBA Inputs'!$I45*(AC$58-'CBA Inputs'!$H45+1),0),0)*IF(AC$58=FirstYear+AnalysisPeriod-1,1,0),0)*CapitalCost_ACTIVE*AC$55</f>
        <v>0</v>
      </c>
      <c r="AD121" s="17">
        <f>IFERROR(IF(AD$58&gt;='CBA Inputs'!$H45,MAX('CBA Inputs'!$E45-'CBA Inputs'!$E45/'CBA Inputs'!$I45*(AD$58-'CBA Inputs'!$H45+1),0),0)*IF(AD$58=FirstYear+AnalysisPeriod-1,1,0),0)*CapitalCost_ACTIVE*AD$55</f>
        <v>0</v>
      </c>
      <c r="AE121" s="17">
        <f>IFERROR(IF(AE$58&gt;='CBA Inputs'!$H45,MAX('CBA Inputs'!$E45-'CBA Inputs'!$E45/'CBA Inputs'!$I45*(AE$58-'CBA Inputs'!$H45+1),0),0)*IF(AE$58=FirstYear+AnalysisPeriod-1,1,0),0)*CapitalCost_ACTIVE*AE$55</f>
        <v>0</v>
      </c>
      <c r="AF121" s="17">
        <f>IFERROR(IF(AF$58&gt;='CBA Inputs'!$H45,MAX('CBA Inputs'!$E45-'CBA Inputs'!$E45/'CBA Inputs'!$I45*(AF$58-'CBA Inputs'!$H45+1),0),0)*IF(AF$58=FirstYear+AnalysisPeriod-1,1,0),0)*CapitalCost_ACTIVE*AF$55</f>
        <v>5000000</v>
      </c>
      <c r="AG121" s="17">
        <f>IFERROR(IF(AG$58&gt;='CBA Inputs'!$H45,MAX('CBA Inputs'!$E45-'CBA Inputs'!$E45/'CBA Inputs'!$I45*(AG$58-'CBA Inputs'!$H45+1),0),0)*IF(AG$58=FirstYear+AnalysisPeriod-1,1,0),0)*CapitalCost_ACTIVE*AG$55</f>
        <v>0</v>
      </c>
      <c r="AH121" s="17">
        <f>IFERROR(IF(AH$58&gt;='CBA Inputs'!$H45,MAX('CBA Inputs'!$E45-'CBA Inputs'!$E45/'CBA Inputs'!$I45*(AH$58-'CBA Inputs'!$H45+1),0),0)*IF(AH$58=FirstYear+AnalysisPeriod-1,1,0),0)*CapitalCost_ACTIVE*AH$55</f>
        <v>0</v>
      </c>
      <c r="AI121" s="17">
        <f>IFERROR(IF(AI$58&gt;='CBA Inputs'!$H45,MAX('CBA Inputs'!$E45-'CBA Inputs'!$E45/'CBA Inputs'!$I45*(AI$58-'CBA Inputs'!$H45+1),0),0)*IF(AI$58=FirstYear+AnalysisPeriod-1,1,0),0)*CapitalCost_ACTIVE*AI$55</f>
        <v>0</v>
      </c>
      <c r="AJ121" s="17">
        <f>IFERROR(IF(AJ$58&gt;='CBA Inputs'!$H45,MAX('CBA Inputs'!$E45-'CBA Inputs'!$E45/'CBA Inputs'!$I45*(AJ$58-'CBA Inputs'!$H45+1),0),0)*IF(AJ$58=FirstYear+AnalysisPeriod-1,1,0),0)*CapitalCost_ACTIVE*AJ$55</f>
        <v>0</v>
      </c>
      <c r="AM121" s="9" t="str">
        <f t="shared" si="35"/>
        <v/>
      </c>
      <c r="AN121" s="26">
        <f t="shared" si="35"/>
        <v>0</v>
      </c>
      <c r="AO121" s="26">
        <f t="shared" si="35"/>
        <v>0</v>
      </c>
      <c r="AP121" s="12" t="s">
        <v>35</v>
      </c>
      <c r="AQ121" s="18">
        <f t="shared" si="36"/>
        <v>0</v>
      </c>
      <c r="AR121" s="17">
        <f>IFERROR(IF(G$58&gt;='CBA Inputs'!$R45,MAX('CBA Inputs'!$O45-'CBA Inputs'!$O45/'CBA Inputs'!$S45*(G$58-'CBA Inputs'!$R45+1),0),0)*IF(G$58=FirstYear+AnalysisPeriod-1,1,0),0)*CapitalCost_ACTIVE*G$55*IF(Scenario_Select='CBA Inputs'!$T45,1,0)</f>
        <v>0</v>
      </c>
      <c r="AS121" s="17">
        <f>IFERROR(IF(H$58&gt;='CBA Inputs'!$R45,MAX('CBA Inputs'!$O45-'CBA Inputs'!$O45/'CBA Inputs'!$S45*(H$58-'CBA Inputs'!$R45+1),0),0)*IF(H$58=FirstYear+AnalysisPeriod-1,1,0),0)*CapitalCost_ACTIVE*H$55*IF(Scenario_Select='CBA Inputs'!$T45,1,0)</f>
        <v>0</v>
      </c>
      <c r="AT121" s="17">
        <f>IFERROR(IF(I$58&gt;='CBA Inputs'!$R45,MAX('CBA Inputs'!$O45-'CBA Inputs'!$O45/'CBA Inputs'!$S45*(I$58-'CBA Inputs'!$R45+1),0),0)*IF(I$58=FirstYear+AnalysisPeriod-1,1,0),0)*CapitalCost_ACTIVE*I$55*IF(Scenario_Select='CBA Inputs'!$T45,1,0)</f>
        <v>0</v>
      </c>
      <c r="AU121" s="17">
        <f>IFERROR(IF(J$58&gt;='CBA Inputs'!$R45,MAX('CBA Inputs'!$O45-'CBA Inputs'!$O45/'CBA Inputs'!$S45*(J$58-'CBA Inputs'!$R45+1),0),0)*IF(J$58=FirstYear+AnalysisPeriod-1,1,0),0)*CapitalCost_ACTIVE*J$55*IF(Scenario_Select='CBA Inputs'!$T45,1,0)</f>
        <v>0</v>
      </c>
      <c r="AV121" s="17">
        <f>IFERROR(IF(K$58&gt;='CBA Inputs'!$R45,MAX('CBA Inputs'!$O45-'CBA Inputs'!$O45/'CBA Inputs'!$S45*(K$58-'CBA Inputs'!$R45+1),0),0)*IF(K$58=FirstYear+AnalysisPeriod-1,1,0),0)*CapitalCost_ACTIVE*K$55*IF(Scenario_Select='CBA Inputs'!$T45,1,0)</f>
        <v>0</v>
      </c>
      <c r="AW121" s="17">
        <f>IFERROR(IF(L$58&gt;='CBA Inputs'!$R45,MAX('CBA Inputs'!$O45-'CBA Inputs'!$O45/'CBA Inputs'!$S45*(L$58-'CBA Inputs'!$R45+1),0),0)*IF(L$58=FirstYear+AnalysisPeriod-1,1,0),0)*CapitalCost_ACTIVE*L$55*IF(Scenario_Select='CBA Inputs'!$T45,1,0)</f>
        <v>0</v>
      </c>
      <c r="AX121" s="17">
        <f>IFERROR(IF(M$58&gt;='CBA Inputs'!$R45,MAX('CBA Inputs'!$O45-'CBA Inputs'!$O45/'CBA Inputs'!$S45*(M$58-'CBA Inputs'!$R45+1),0),0)*IF(M$58=FirstYear+AnalysisPeriod-1,1,0),0)*CapitalCost_ACTIVE*M$55*IF(Scenario_Select='CBA Inputs'!$T45,1,0)</f>
        <v>0</v>
      </c>
      <c r="AY121" s="17">
        <f>IFERROR(IF(N$58&gt;='CBA Inputs'!$R45,MAX('CBA Inputs'!$O45-'CBA Inputs'!$O45/'CBA Inputs'!$S45*(N$58-'CBA Inputs'!$R45+1),0),0)*IF(N$58=FirstYear+AnalysisPeriod-1,1,0),0)*CapitalCost_ACTIVE*N$55*IF(Scenario_Select='CBA Inputs'!$T45,1,0)</f>
        <v>0</v>
      </c>
      <c r="AZ121" s="17">
        <f>IFERROR(IF(O$58&gt;='CBA Inputs'!$R45,MAX('CBA Inputs'!$O45-'CBA Inputs'!$O45/'CBA Inputs'!$S45*(O$58-'CBA Inputs'!$R45+1),0),0)*IF(O$58=FirstYear+AnalysisPeriod-1,1,0),0)*CapitalCost_ACTIVE*O$55*IF(Scenario_Select='CBA Inputs'!$T45,1,0)</f>
        <v>0</v>
      </c>
      <c r="BA121" s="17">
        <f>IFERROR(IF(P$58&gt;='CBA Inputs'!$R45,MAX('CBA Inputs'!$O45-'CBA Inputs'!$O45/'CBA Inputs'!$S45*(P$58-'CBA Inputs'!$R45+1),0),0)*IF(P$58=FirstYear+AnalysisPeriod-1,1,0),0)*CapitalCost_ACTIVE*P$55*IF(Scenario_Select='CBA Inputs'!$T45,1,0)</f>
        <v>0</v>
      </c>
      <c r="BB121" s="17">
        <f>IFERROR(IF(Q$58&gt;='CBA Inputs'!$R45,MAX('CBA Inputs'!$O45-'CBA Inputs'!$O45/'CBA Inputs'!$S45*(Q$58-'CBA Inputs'!$R45+1),0),0)*IF(Q$58=FirstYear+AnalysisPeriod-1,1,0),0)*CapitalCost_ACTIVE*Q$55*IF(Scenario_Select='CBA Inputs'!$T45,1,0)</f>
        <v>0</v>
      </c>
      <c r="BC121" s="17">
        <f>IFERROR(IF(R$58&gt;='CBA Inputs'!$R45,MAX('CBA Inputs'!$O45-'CBA Inputs'!$O45/'CBA Inputs'!$S45*(R$58-'CBA Inputs'!$R45+1),0),0)*IF(R$58=FirstYear+AnalysisPeriod-1,1,0),0)*CapitalCost_ACTIVE*R$55*IF(Scenario_Select='CBA Inputs'!$T45,1,0)</f>
        <v>0</v>
      </c>
      <c r="BD121" s="17">
        <f>IFERROR(IF(S$58&gt;='CBA Inputs'!$R45,MAX('CBA Inputs'!$O45-'CBA Inputs'!$O45/'CBA Inputs'!$S45*(S$58-'CBA Inputs'!$R45+1),0),0)*IF(S$58=FirstYear+AnalysisPeriod-1,1,0),0)*CapitalCost_ACTIVE*S$55*IF(Scenario_Select='CBA Inputs'!$T45,1,0)</f>
        <v>0</v>
      </c>
      <c r="BE121" s="17">
        <f>IFERROR(IF(T$58&gt;='CBA Inputs'!$R45,MAX('CBA Inputs'!$O45-'CBA Inputs'!$O45/'CBA Inputs'!$S45*(T$58-'CBA Inputs'!$R45+1),0),0)*IF(T$58=FirstYear+AnalysisPeriod-1,1,0),0)*CapitalCost_ACTIVE*T$55*IF(Scenario_Select='CBA Inputs'!$T45,1,0)</f>
        <v>0</v>
      </c>
      <c r="BF121" s="17">
        <f>IFERROR(IF(U$58&gt;='CBA Inputs'!$R45,MAX('CBA Inputs'!$O45-'CBA Inputs'!$O45/'CBA Inputs'!$S45*(U$58-'CBA Inputs'!$R45+1),0),0)*IF(U$58=FirstYear+AnalysisPeriod-1,1,0),0)*CapitalCost_ACTIVE*U$55*IF(Scenario_Select='CBA Inputs'!$T45,1,0)</f>
        <v>0</v>
      </c>
      <c r="BG121" s="17">
        <f>IFERROR(IF(V$58&gt;='CBA Inputs'!$R45,MAX('CBA Inputs'!$O45-'CBA Inputs'!$O45/'CBA Inputs'!$S45*(V$58-'CBA Inputs'!$R45+1),0),0)*IF(V$58=FirstYear+AnalysisPeriod-1,1,0),0)*CapitalCost_ACTIVE*V$55*IF(Scenario_Select='CBA Inputs'!$T45,1,0)</f>
        <v>0</v>
      </c>
      <c r="BH121" s="17">
        <f>IFERROR(IF(W$58&gt;='CBA Inputs'!$R45,MAX('CBA Inputs'!$O45-'CBA Inputs'!$O45/'CBA Inputs'!$S45*(W$58-'CBA Inputs'!$R45+1),0),0)*IF(W$58=FirstYear+AnalysisPeriod-1,1,0),0)*CapitalCost_ACTIVE*W$55*IF(Scenario_Select='CBA Inputs'!$T45,1,0)</f>
        <v>0</v>
      </c>
      <c r="BI121" s="17">
        <f>IFERROR(IF(X$58&gt;='CBA Inputs'!$R45,MAX('CBA Inputs'!$O45-'CBA Inputs'!$O45/'CBA Inputs'!$S45*(X$58-'CBA Inputs'!$R45+1),0),0)*IF(X$58=FirstYear+AnalysisPeriod-1,1,0),0)*CapitalCost_ACTIVE*X$55*IF(Scenario_Select='CBA Inputs'!$T45,1,0)</f>
        <v>0</v>
      </c>
      <c r="BJ121" s="17">
        <f>IFERROR(IF(Y$58&gt;='CBA Inputs'!$R45,MAX('CBA Inputs'!$O45-'CBA Inputs'!$O45/'CBA Inputs'!$S45*(Y$58-'CBA Inputs'!$R45+1),0),0)*IF(Y$58=FirstYear+AnalysisPeriod-1,1,0),0)*CapitalCost_ACTIVE*Y$55*IF(Scenario_Select='CBA Inputs'!$T45,1,0)</f>
        <v>0</v>
      </c>
      <c r="BK121" s="17">
        <f>IFERROR(IF(Z$58&gt;='CBA Inputs'!$R45,MAX('CBA Inputs'!$O45-'CBA Inputs'!$O45/'CBA Inputs'!$S45*(Z$58-'CBA Inputs'!$R45+1),0),0)*IF(Z$58=FirstYear+AnalysisPeriod-1,1,0),0)*CapitalCost_ACTIVE*Z$55*IF(Scenario_Select='CBA Inputs'!$T45,1,0)</f>
        <v>0</v>
      </c>
      <c r="BL121" s="17">
        <f>IFERROR(IF(AA$58&gt;='CBA Inputs'!$R45,MAX('CBA Inputs'!$O45-'CBA Inputs'!$O45/'CBA Inputs'!$S45*(AA$58-'CBA Inputs'!$R45+1),0),0)*IF(AA$58=FirstYear+AnalysisPeriod-1,1,0),0)*CapitalCost_ACTIVE*AA$55*IF(Scenario_Select='CBA Inputs'!$T45,1,0)</f>
        <v>0</v>
      </c>
      <c r="BM121" s="17">
        <f>IFERROR(IF(AB$58&gt;='CBA Inputs'!$R45,MAX('CBA Inputs'!$O45-'CBA Inputs'!$O45/'CBA Inputs'!$S45*(AB$58-'CBA Inputs'!$R45+1),0),0)*IF(AB$58=FirstYear+AnalysisPeriod-1,1,0),0)*CapitalCost_ACTIVE*AB$55*IF(Scenario_Select='CBA Inputs'!$T45,1,0)</f>
        <v>0</v>
      </c>
      <c r="BN121" s="17">
        <f>IFERROR(IF(AC$58&gt;='CBA Inputs'!$R45,MAX('CBA Inputs'!$O45-'CBA Inputs'!$O45/'CBA Inputs'!$S45*(AC$58-'CBA Inputs'!$R45+1),0),0)*IF(AC$58=FirstYear+AnalysisPeriod-1,1,0),0)*CapitalCost_ACTIVE*AC$55*IF(Scenario_Select='CBA Inputs'!$T45,1,0)</f>
        <v>0</v>
      </c>
      <c r="BO121" s="17">
        <f>IFERROR(IF(AD$58&gt;='CBA Inputs'!$R45,MAX('CBA Inputs'!$O45-'CBA Inputs'!$O45/'CBA Inputs'!$S45*(AD$58-'CBA Inputs'!$R45+1),0),0)*IF(AD$58=FirstYear+AnalysisPeriod-1,1,0),0)*CapitalCost_ACTIVE*AD$55*IF(Scenario_Select='CBA Inputs'!$T45,1,0)</f>
        <v>0</v>
      </c>
      <c r="BP121" s="17">
        <f>IFERROR(IF(AE$58&gt;='CBA Inputs'!$R45,MAX('CBA Inputs'!$O45-'CBA Inputs'!$O45/'CBA Inputs'!$S45*(AE$58-'CBA Inputs'!$R45+1),0),0)*IF(AE$58=FirstYear+AnalysisPeriod-1,1,0),0)*CapitalCost_ACTIVE*AE$55*IF(Scenario_Select='CBA Inputs'!$T45,1,0)</f>
        <v>0</v>
      </c>
      <c r="BQ121" s="17">
        <f>IFERROR(IF(AF$58&gt;='CBA Inputs'!$R45,MAX('CBA Inputs'!$O45-'CBA Inputs'!$O45/'CBA Inputs'!$S45*(AF$58-'CBA Inputs'!$R45+1),0),0)*IF(AF$58=FirstYear+AnalysisPeriod-1,1,0),0)*CapitalCost_ACTIVE*AF$55*IF(Scenario_Select='CBA Inputs'!$T45,1,0)</f>
        <v>0</v>
      </c>
      <c r="BR121" s="17">
        <f>IFERROR(IF(AG$58&gt;='CBA Inputs'!$R45,MAX('CBA Inputs'!$O45-'CBA Inputs'!$O45/'CBA Inputs'!$S45*(AG$58-'CBA Inputs'!$R45+1),0),0)*IF(AG$58=FirstYear+AnalysisPeriod-1,1,0),0)*CapitalCost_ACTIVE*AG$55*IF(Scenario_Select='CBA Inputs'!$T45,1,0)</f>
        <v>0</v>
      </c>
      <c r="BS121" s="17">
        <f>IFERROR(IF(AH$58&gt;='CBA Inputs'!$R45,MAX('CBA Inputs'!$O45-'CBA Inputs'!$O45/'CBA Inputs'!$S45*(AH$58-'CBA Inputs'!$R45+1),0),0)*IF(AH$58=FirstYear+AnalysisPeriod-1,1,0),0)*CapitalCost_ACTIVE*AH$55*IF(Scenario_Select='CBA Inputs'!$T45,1,0)</f>
        <v>0</v>
      </c>
      <c r="BT121" s="17">
        <f>IFERROR(IF(AI$58&gt;='CBA Inputs'!$R45,MAX('CBA Inputs'!$O45-'CBA Inputs'!$O45/'CBA Inputs'!$S45*(AI$58-'CBA Inputs'!$R45+1),0),0)*IF(AI$58=FirstYear+AnalysisPeriod-1,1,0),0)*CapitalCost_ACTIVE*AI$55*IF(Scenario_Select='CBA Inputs'!$T45,1,0)</f>
        <v>0</v>
      </c>
      <c r="BU121" s="17">
        <f>IFERROR(IF(AJ$58&gt;='CBA Inputs'!$R45,MAX('CBA Inputs'!$O45-'CBA Inputs'!$O45/'CBA Inputs'!$S45*(AJ$58-'CBA Inputs'!$R45+1),0),0)*IF(AJ$58=FirstYear+AnalysisPeriod-1,1,0),0)*CapitalCost_ACTIVE*AJ$55*IF(Scenario_Select='CBA Inputs'!$T45,1,0)</f>
        <v>0</v>
      </c>
    </row>
    <row r="122" spans="2:73" x14ac:dyDescent="0.35">
      <c r="B122" s="9">
        <f t="shared" si="30"/>
        <v>12</v>
      </c>
      <c r="C122" s="26" t="str">
        <f t="shared" si="30"/>
        <v>Option 4C</v>
      </c>
      <c r="D122" s="26" t="str">
        <f t="shared" si="33"/>
        <v>Lines</v>
      </c>
      <c r="E122" s="12" t="s">
        <v>35</v>
      </c>
      <c r="F122" s="18">
        <f t="shared" si="34"/>
        <v>147221289.99846888</v>
      </c>
      <c r="G122" s="17">
        <f>IFERROR(IF(G$58&gt;='CBA Inputs'!$H46,MAX('CBA Inputs'!$E46-'CBA Inputs'!$E46/'CBA Inputs'!$I46*(G$58-'CBA Inputs'!$H46+1),0),0)*IF(G$58=FirstYear+AnalysisPeriod-1,1,0),0)*CapitalCost_ACTIVE*G$55</f>
        <v>0</v>
      </c>
      <c r="H122" s="17">
        <f>IFERROR(IF(H$58&gt;='CBA Inputs'!$H46,MAX('CBA Inputs'!$E46-'CBA Inputs'!$E46/'CBA Inputs'!$I46*(H$58-'CBA Inputs'!$H46+1),0),0)*IF(H$58=FirstYear+AnalysisPeriod-1,1,0),0)*CapitalCost_ACTIVE*H$55</f>
        <v>0</v>
      </c>
      <c r="I122" s="17">
        <f>IFERROR(IF(I$58&gt;='CBA Inputs'!$H46,MAX('CBA Inputs'!$E46-'CBA Inputs'!$E46/'CBA Inputs'!$I46*(I$58-'CBA Inputs'!$H46+1),0),0)*IF(I$58=FirstYear+AnalysisPeriod-1,1,0),0)*CapitalCost_ACTIVE*I$55</f>
        <v>0</v>
      </c>
      <c r="J122" s="17">
        <f>IFERROR(IF(J$58&gt;='CBA Inputs'!$H46,MAX('CBA Inputs'!$E46-'CBA Inputs'!$E46/'CBA Inputs'!$I46*(J$58-'CBA Inputs'!$H46+1),0),0)*IF(J$58=FirstYear+AnalysisPeriod-1,1,0),0)*CapitalCost_ACTIVE*J$55</f>
        <v>0</v>
      </c>
      <c r="K122" s="17">
        <f>IFERROR(IF(K$58&gt;='CBA Inputs'!$H46,MAX('CBA Inputs'!$E46-'CBA Inputs'!$E46/'CBA Inputs'!$I46*(K$58-'CBA Inputs'!$H46+1),0),0)*IF(K$58=FirstYear+AnalysisPeriod-1,1,0),0)*CapitalCost_ACTIVE*K$55</f>
        <v>0</v>
      </c>
      <c r="L122" s="17">
        <f>IFERROR(IF(L$58&gt;='CBA Inputs'!$H46,MAX('CBA Inputs'!$E46-'CBA Inputs'!$E46/'CBA Inputs'!$I46*(L$58-'CBA Inputs'!$H46+1),0),0)*IF(L$58=FirstYear+AnalysisPeriod-1,1,0),0)*CapitalCost_ACTIVE*L$55</f>
        <v>0</v>
      </c>
      <c r="M122" s="17">
        <f>IFERROR(IF(M$58&gt;='CBA Inputs'!$H46,MAX('CBA Inputs'!$E46-'CBA Inputs'!$E46/'CBA Inputs'!$I46*(M$58-'CBA Inputs'!$H46+1),0),0)*IF(M$58=FirstYear+AnalysisPeriod-1,1,0),0)*CapitalCost_ACTIVE*M$55</f>
        <v>0</v>
      </c>
      <c r="N122" s="17">
        <f>IFERROR(IF(N$58&gt;='CBA Inputs'!$H46,MAX('CBA Inputs'!$E46-'CBA Inputs'!$E46/'CBA Inputs'!$I46*(N$58-'CBA Inputs'!$H46+1),0),0)*IF(N$58=FirstYear+AnalysisPeriod-1,1,0),0)*CapitalCost_ACTIVE*N$55</f>
        <v>0</v>
      </c>
      <c r="O122" s="17">
        <f>IFERROR(IF(O$58&gt;='CBA Inputs'!$H46,MAX('CBA Inputs'!$E46-'CBA Inputs'!$E46/'CBA Inputs'!$I46*(O$58-'CBA Inputs'!$H46+1),0),0)*IF(O$58=FirstYear+AnalysisPeriod-1,1,0),0)*CapitalCost_ACTIVE*O$55</f>
        <v>0</v>
      </c>
      <c r="P122" s="17">
        <f>IFERROR(IF(P$58&gt;='CBA Inputs'!$H46,MAX('CBA Inputs'!$E46-'CBA Inputs'!$E46/'CBA Inputs'!$I46*(P$58-'CBA Inputs'!$H46+1),0),0)*IF(P$58=FirstYear+AnalysisPeriod-1,1,0),0)*CapitalCost_ACTIVE*P$55</f>
        <v>0</v>
      </c>
      <c r="Q122" s="17">
        <f>IFERROR(IF(Q$58&gt;='CBA Inputs'!$H46,MAX('CBA Inputs'!$E46-'CBA Inputs'!$E46/'CBA Inputs'!$I46*(Q$58-'CBA Inputs'!$H46+1),0),0)*IF(Q$58=FirstYear+AnalysisPeriod-1,1,0),0)*CapitalCost_ACTIVE*Q$55</f>
        <v>0</v>
      </c>
      <c r="R122" s="17">
        <f>IFERROR(IF(R$58&gt;='CBA Inputs'!$H46,MAX('CBA Inputs'!$E46-'CBA Inputs'!$E46/'CBA Inputs'!$I46*(R$58-'CBA Inputs'!$H46+1),0),0)*IF(R$58=FirstYear+AnalysisPeriod-1,1,0),0)*CapitalCost_ACTIVE*R$55</f>
        <v>0</v>
      </c>
      <c r="S122" s="17">
        <f>IFERROR(IF(S$58&gt;='CBA Inputs'!$H46,MAX('CBA Inputs'!$E46-'CBA Inputs'!$E46/'CBA Inputs'!$I46*(S$58-'CBA Inputs'!$H46+1),0),0)*IF(S$58=FirstYear+AnalysisPeriod-1,1,0),0)*CapitalCost_ACTIVE*S$55</f>
        <v>0</v>
      </c>
      <c r="T122" s="17">
        <f>IFERROR(IF(T$58&gt;='CBA Inputs'!$H46,MAX('CBA Inputs'!$E46-'CBA Inputs'!$E46/'CBA Inputs'!$I46*(T$58-'CBA Inputs'!$H46+1),0),0)*IF(T$58=FirstYear+AnalysisPeriod-1,1,0),0)*CapitalCost_ACTIVE*T$55</f>
        <v>0</v>
      </c>
      <c r="U122" s="17">
        <f>IFERROR(IF(U$58&gt;='CBA Inputs'!$H46,MAX('CBA Inputs'!$E46-'CBA Inputs'!$E46/'CBA Inputs'!$I46*(U$58-'CBA Inputs'!$H46+1),0),0)*IF(U$58=FirstYear+AnalysisPeriod-1,1,0),0)*CapitalCost_ACTIVE*U$55</f>
        <v>0</v>
      </c>
      <c r="V122" s="17">
        <f>IFERROR(IF(V$58&gt;='CBA Inputs'!$H46,MAX('CBA Inputs'!$E46-'CBA Inputs'!$E46/'CBA Inputs'!$I46*(V$58-'CBA Inputs'!$H46+1),0),0)*IF(V$58=FirstYear+AnalysisPeriod-1,1,0),0)*CapitalCost_ACTIVE*V$55</f>
        <v>0</v>
      </c>
      <c r="W122" s="17">
        <f>IFERROR(IF(W$58&gt;='CBA Inputs'!$H46,MAX('CBA Inputs'!$E46-'CBA Inputs'!$E46/'CBA Inputs'!$I46*(W$58-'CBA Inputs'!$H46+1),0),0)*IF(W$58=FirstYear+AnalysisPeriod-1,1,0),0)*CapitalCost_ACTIVE*W$55</f>
        <v>0</v>
      </c>
      <c r="X122" s="17">
        <f>IFERROR(IF(X$58&gt;='CBA Inputs'!$H46,MAX('CBA Inputs'!$E46-'CBA Inputs'!$E46/'CBA Inputs'!$I46*(X$58-'CBA Inputs'!$H46+1),0),0)*IF(X$58=FirstYear+AnalysisPeriod-1,1,0),0)*CapitalCost_ACTIVE*X$55</f>
        <v>0</v>
      </c>
      <c r="Y122" s="17">
        <f>IFERROR(IF(Y$58&gt;='CBA Inputs'!$H46,MAX('CBA Inputs'!$E46-'CBA Inputs'!$E46/'CBA Inputs'!$I46*(Y$58-'CBA Inputs'!$H46+1),0),0)*IF(Y$58=FirstYear+AnalysisPeriod-1,1,0),0)*CapitalCost_ACTIVE*Y$55</f>
        <v>0</v>
      </c>
      <c r="Z122" s="17">
        <f>IFERROR(IF(Z$58&gt;='CBA Inputs'!$H46,MAX('CBA Inputs'!$E46-'CBA Inputs'!$E46/'CBA Inputs'!$I46*(Z$58-'CBA Inputs'!$H46+1),0),0)*IF(Z$58=FirstYear+AnalysisPeriod-1,1,0),0)*CapitalCost_ACTIVE*Z$55</f>
        <v>0</v>
      </c>
      <c r="AA122" s="17">
        <f>IFERROR(IF(AA$58&gt;='CBA Inputs'!$H46,MAX('CBA Inputs'!$E46-'CBA Inputs'!$E46/'CBA Inputs'!$I46*(AA$58-'CBA Inputs'!$H46+1),0),0)*IF(AA$58=FirstYear+AnalysisPeriod-1,1,0),0)*CapitalCost_ACTIVE*AA$55</f>
        <v>0</v>
      </c>
      <c r="AB122" s="17">
        <f>IFERROR(IF(AB$58&gt;='CBA Inputs'!$H46,MAX('CBA Inputs'!$E46-'CBA Inputs'!$E46/'CBA Inputs'!$I46*(AB$58-'CBA Inputs'!$H46+1),0),0)*IF(AB$58=FirstYear+AnalysisPeriod-1,1,0),0)*CapitalCost_ACTIVE*AB$55</f>
        <v>0</v>
      </c>
      <c r="AC122" s="17">
        <f>IFERROR(IF(AC$58&gt;='CBA Inputs'!$H46,MAX('CBA Inputs'!$E46-'CBA Inputs'!$E46/'CBA Inputs'!$I46*(AC$58-'CBA Inputs'!$H46+1),0),0)*IF(AC$58=FirstYear+AnalysisPeriod-1,1,0),0)*CapitalCost_ACTIVE*AC$55</f>
        <v>0</v>
      </c>
      <c r="AD122" s="17">
        <f>IFERROR(IF(AD$58&gt;='CBA Inputs'!$H46,MAX('CBA Inputs'!$E46-'CBA Inputs'!$E46/'CBA Inputs'!$I46*(AD$58-'CBA Inputs'!$H46+1),0),0)*IF(AD$58=FirstYear+AnalysisPeriod-1,1,0),0)*CapitalCost_ACTIVE*AD$55</f>
        <v>0</v>
      </c>
      <c r="AE122" s="17">
        <f>IFERROR(IF(AE$58&gt;='CBA Inputs'!$H46,MAX('CBA Inputs'!$E46-'CBA Inputs'!$E46/'CBA Inputs'!$I46*(AE$58-'CBA Inputs'!$H46+1),0),0)*IF(AE$58=FirstYear+AnalysisPeriod-1,1,0),0)*CapitalCost_ACTIVE*AE$55</f>
        <v>0</v>
      </c>
      <c r="AF122" s="17">
        <f>IFERROR(IF(AF$58&gt;='CBA Inputs'!$H46,MAX('CBA Inputs'!$E46-'CBA Inputs'!$E46/'CBA Inputs'!$I46*(AF$58-'CBA Inputs'!$H46+1),0),0)*IF(AF$58=FirstYear+AnalysisPeriod-1,1,0),0)*CapitalCost_ACTIVE*AF$55</f>
        <v>617120000</v>
      </c>
      <c r="AG122" s="17">
        <f>IFERROR(IF(AG$58&gt;='CBA Inputs'!$H46,MAX('CBA Inputs'!$E46-'CBA Inputs'!$E46/'CBA Inputs'!$I46*(AG$58-'CBA Inputs'!$H46+1),0),0)*IF(AG$58=FirstYear+AnalysisPeriod-1,1,0),0)*CapitalCost_ACTIVE*AG$55</f>
        <v>0</v>
      </c>
      <c r="AH122" s="17">
        <f>IFERROR(IF(AH$58&gt;='CBA Inputs'!$H46,MAX('CBA Inputs'!$E46-'CBA Inputs'!$E46/'CBA Inputs'!$I46*(AH$58-'CBA Inputs'!$H46+1),0),0)*IF(AH$58=FirstYear+AnalysisPeriod-1,1,0),0)*CapitalCost_ACTIVE*AH$55</f>
        <v>0</v>
      </c>
      <c r="AI122" s="17">
        <f>IFERROR(IF(AI$58&gt;='CBA Inputs'!$H46,MAX('CBA Inputs'!$E46-'CBA Inputs'!$E46/'CBA Inputs'!$I46*(AI$58-'CBA Inputs'!$H46+1),0),0)*IF(AI$58=FirstYear+AnalysisPeriod-1,1,0),0)*CapitalCost_ACTIVE*AI$55</f>
        <v>0</v>
      </c>
      <c r="AJ122" s="17">
        <f>IFERROR(IF(AJ$58&gt;='CBA Inputs'!$H46,MAX('CBA Inputs'!$E46-'CBA Inputs'!$E46/'CBA Inputs'!$I46*(AJ$58-'CBA Inputs'!$H46+1),0),0)*IF(AJ$58=FirstYear+AnalysisPeriod-1,1,0),0)*CapitalCost_ACTIVE*AJ$55</f>
        <v>0</v>
      </c>
      <c r="AM122" s="9" t="str">
        <f t="shared" si="35"/>
        <v/>
      </c>
      <c r="AN122" s="26">
        <f t="shared" si="35"/>
        <v>0</v>
      </c>
      <c r="AO122" s="26">
        <f t="shared" si="35"/>
        <v>0</v>
      </c>
      <c r="AP122" s="12" t="s">
        <v>35</v>
      </c>
      <c r="AQ122" s="18">
        <f t="shared" si="36"/>
        <v>0</v>
      </c>
      <c r="AR122" s="17">
        <f>IFERROR(IF(G$58&gt;='CBA Inputs'!$R46,MAX('CBA Inputs'!$O46-'CBA Inputs'!$O46/'CBA Inputs'!$S46*(G$58-'CBA Inputs'!$R46+1),0),0)*IF(G$58=FirstYear+AnalysisPeriod-1,1,0),0)*CapitalCost_ACTIVE*G$55*IF(Scenario_Select='CBA Inputs'!$T46,1,0)</f>
        <v>0</v>
      </c>
      <c r="AS122" s="17">
        <f>IFERROR(IF(H$58&gt;='CBA Inputs'!$R46,MAX('CBA Inputs'!$O46-'CBA Inputs'!$O46/'CBA Inputs'!$S46*(H$58-'CBA Inputs'!$R46+1),0),0)*IF(H$58=FirstYear+AnalysisPeriod-1,1,0),0)*CapitalCost_ACTIVE*H$55*IF(Scenario_Select='CBA Inputs'!$T46,1,0)</f>
        <v>0</v>
      </c>
      <c r="AT122" s="17">
        <f>IFERROR(IF(I$58&gt;='CBA Inputs'!$R46,MAX('CBA Inputs'!$O46-'CBA Inputs'!$O46/'CBA Inputs'!$S46*(I$58-'CBA Inputs'!$R46+1),0),0)*IF(I$58=FirstYear+AnalysisPeriod-1,1,0),0)*CapitalCost_ACTIVE*I$55*IF(Scenario_Select='CBA Inputs'!$T46,1,0)</f>
        <v>0</v>
      </c>
      <c r="AU122" s="17">
        <f>IFERROR(IF(J$58&gt;='CBA Inputs'!$R46,MAX('CBA Inputs'!$O46-'CBA Inputs'!$O46/'CBA Inputs'!$S46*(J$58-'CBA Inputs'!$R46+1),0),0)*IF(J$58=FirstYear+AnalysisPeriod-1,1,0),0)*CapitalCost_ACTIVE*J$55*IF(Scenario_Select='CBA Inputs'!$T46,1,0)</f>
        <v>0</v>
      </c>
      <c r="AV122" s="17">
        <f>IFERROR(IF(K$58&gt;='CBA Inputs'!$R46,MAX('CBA Inputs'!$O46-'CBA Inputs'!$O46/'CBA Inputs'!$S46*(K$58-'CBA Inputs'!$R46+1),0),0)*IF(K$58=FirstYear+AnalysisPeriod-1,1,0),0)*CapitalCost_ACTIVE*K$55*IF(Scenario_Select='CBA Inputs'!$T46,1,0)</f>
        <v>0</v>
      </c>
      <c r="AW122" s="17">
        <f>IFERROR(IF(L$58&gt;='CBA Inputs'!$R46,MAX('CBA Inputs'!$O46-'CBA Inputs'!$O46/'CBA Inputs'!$S46*(L$58-'CBA Inputs'!$R46+1),0),0)*IF(L$58=FirstYear+AnalysisPeriod-1,1,0),0)*CapitalCost_ACTIVE*L$55*IF(Scenario_Select='CBA Inputs'!$T46,1,0)</f>
        <v>0</v>
      </c>
      <c r="AX122" s="17">
        <f>IFERROR(IF(M$58&gt;='CBA Inputs'!$R46,MAX('CBA Inputs'!$O46-'CBA Inputs'!$O46/'CBA Inputs'!$S46*(M$58-'CBA Inputs'!$R46+1),0),0)*IF(M$58=FirstYear+AnalysisPeriod-1,1,0),0)*CapitalCost_ACTIVE*M$55*IF(Scenario_Select='CBA Inputs'!$T46,1,0)</f>
        <v>0</v>
      </c>
      <c r="AY122" s="17">
        <f>IFERROR(IF(N$58&gt;='CBA Inputs'!$R46,MAX('CBA Inputs'!$O46-'CBA Inputs'!$O46/'CBA Inputs'!$S46*(N$58-'CBA Inputs'!$R46+1),0),0)*IF(N$58=FirstYear+AnalysisPeriod-1,1,0),0)*CapitalCost_ACTIVE*N$55*IF(Scenario_Select='CBA Inputs'!$T46,1,0)</f>
        <v>0</v>
      </c>
      <c r="AZ122" s="17">
        <f>IFERROR(IF(O$58&gt;='CBA Inputs'!$R46,MAX('CBA Inputs'!$O46-'CBA Inputs'!$O46/'CBA Inputs'!$S46*(O$58-'CBA Inputs'!$R46+1),0),0)*IF(O$58=FirstYear+AnalysisPeriod-1,1,0),0)*CapitalCost_ACTIVE*O$55*IF(Scenario_Select='CBA Inputs'!$T46,1,0)</f>
        <v>0</v>
      </c>
      <c r="BA122" s="17">
        <f>IFERROR(IF(P$58&gt;='CBA Inputs'!$R46,MAX('CBA Inputs'!$O46-'CBA Inputs'!$O46/'CBA Inputs'!$S46*(P$58-'CBA Inputs'!$R46+1),0),0)*IF(P$58=FirstYear+AnalysisPeriod-1,1,0),0)*CapitalCost_ACTIVE*P$55*IF(Scenario_Select='CBA Inputs'!$T46,1,0)</f>
        <v>0</v>
      </c>
      <c r="BB122" s="17">
        <f>IFERROR(IF(Q$58&gt;='CBA Inputs'!$R46,MAX('CBA Inputs'!$O46-'CBA Inputs'!$O46/'CBA Inputs'!$S46*(Q$58-'CBA Inputs'!$R46+1),0),0)*IF(Q$58=FirstYear+AnalysisPeriod-1,1,0),0)*CapitalCost_ACTIVE*Q$55*IF(Scenario_Select='CBA Inputs'!$T46,1,0)</f>
        <v>0</v>
      </c>
      <c r="BC122" s="17">
        <f>IFERROR(IF(R$58&gt;='CBA Inputs'!$R46,MAX('CBA Inputs'!$O46-'CBA Inputs'!$O46/'CBA Inputs'!$S46*(R$58-'CBA Inputs'!$R46+1),0),0)*IF(R$58=FirstYear+AnalysisPeriod-1,1,0),0)*CapitalCost_ACTIVE*R$55*IF(Scenario_Select='CBA Inputs'!$T46,1,0)</f>
        <v>0</v>
      </c>
      <c r="BD122" s="17">
        <f>IFERROR(IF(S$58&gt;='CBA Inputs'!$R46,MAX('CBA Inputs'!$O46-'CBA Inputs'!$O46/'CBA Inputs'!$S46*(S$58-'CBA Inputs'!$R46+1),0),0)*IF(S$58=FirstYear+AnalysisPeriod-1,1,0),0)*CapitalCost_ACTIVE*S$55*IF(Scenario_Select='CBA Inputs'!$T46,1,0)</f>
        <v>0</v>
      </c>
      <c r="BE122" s="17">
        <f>IFERROR(IF(T$58&gt;='CBA Inputs'!$R46,MAX('CBA Inputs'!$O46-'CBA Inputs'!$O46/'CBA Inputs'!$S46*(T$58-'CBA Inputs'!$R46+1),0),0)*IF(T$58=FirstYear+AnalysisPeriod-1,1,0),0)*CapitalCost_ACTIVE*T$55*IF(Scenario_Select='CBA Inputs'!$T46,1,0)</f>
        <v>0</v>
      </c>
      <c r="BF122" s="17">
        <f>IFERROR(IF(U$58&gt;='CBA Inputs'!$R46,MAX('CBA Inputs'!$O46-'CBA Inputs'!$O46/'CBA Inputs'!$S46*(U$58-'CBA Inputs'!$R46+1),0),0)*IF(U$58=FirstYear+AnalysisPeriod-1,1,0),0)*CapitalCost_ACTIVE*U$55*IF(Scenario_Select='CBA Inputs'!$T46,1,0)</f>
        <v>0</v>
      </c>
      <c r="BG122" s="17">
        <f>IFERROR(IF(V$58&gt;='CBA Inputs'!$R46,MAX('CBA Inputs'!$O46-'CBA Inputs'!$O46/'CBA Inputs'!$S46*(V$58-'CBA Inputs'!$R46+1),0),0)*IF(V$58=FirstYear+AnalysisPeriod-1,1,0),0)*CapitalCost_ACTIVE*V$55*IF(Scenario_Select='CBA Inputs'!$T46,1,0)</f>
        <v>0</v>
      </c>
      <c r="BH122" s="17">
        <f>IFERROR(IF(W$58&gt;='CBA Inputs'!$R46,MAX('CBA Inputs'!$O46-'CBA Inputs'!$O46/'CBA Inputs'!$S46*(W$58-'CBA Inputs'!$R46+1),0),0)*IF(W$58=FirstYear+AnalysisPeriod-1,1,0),0)*CapitalCost_ACTIVE*W$55*IF(Scenario_Select='CBA Inputs'!$T46,1,0)</f>
        <v>0</v>
      </c>
      <c r="BI122" s="17">
        <f>IFERROR(IF(X$58&gt;='CBA Inputs'!$R46,MAX('CBA Inputs'!$O46-'CBA Inputs'!$O46/'CBA Inputs'!$S46*(X$58-'CBA Inputs'!$R46+1),0),0)*IF(X$58=FirstYear+AnalysisPeriod-1,1,0),0)*CapitalCost_ACTIVE*X$55*IF(Scenario_Select='CBA Inputs'!$T46,1,0)</f>
        <v>0</v>
      </c>
      <c r="BJ122" s="17">
        <f>IFERROR(IF(Y$58&gt;='CBA Inputs'!$R46,MAX('CBA Inputs'!$O46-'CBA Inputs'!$O46/'CBA Inputs'!$S46*(Y$58-'CBA Inputs'!$R46+1),0),0)*IF(Y$58=FirstYear+AnalysisPeriod-1,1,0),0)*CapitalCost_ACTIVE*Y$55*IF(Scenario_Select='CBA Inputs'!$T46,1,0)</f>
        <v>0</v>
      </c>
      <c r="BK122" s="17">
        <f>IFERROR(IF(Z$58&gt;='CBA Inputs'!$R46,MAX('CBA Inputs'!$O46-'CBA Inputs'!$O46/'CBA Inputs'!$S46*(Z$58-'CBA Inputs'!$R46+1),0),0)*IF(Z$58=FirstYear+AnalysisPeriod-1,1,0),0)*CapitalCost_ACTIVE*Z$55*IF(Scenario_Select='CBA Inputs'!$T46,1,0)</f>
        <v>0</v>
      </c>
      <c r="BL122" s="17">
        <f>IFERROR(IF(AA$58&gt;='CBA Inputs'!$R46,MAX('CBA Inputs'!$O46-'CBA Inputs'!$O46/'CBA Inputs'!$S46*(AA$58-'CBA Inputs'!$R46+1),0),0)*IF(AA$58=FirstYear+AnalysisPeriod-1,1,0),0)*CapitalCost_ACTIVE*AA$55*IF(Scenario_Select='CBA Inputs'!$T46,1,0)</f>
        <v>0</v>
      </c>
      <c r="BM122" s="17">
        <f>IFERROR(IF(AB$58&gt;='CBA Inputs'!$R46,MAX('CBA Inputs'!$O46-'CBA Inputs'!$O46/'CBA Inputs'!$S46*(AB$58-'CBA Inputs'!$R46+1),0),0)*IF(AB$58=FirstYear+AnalysisPeriod-1,1,0),0)*CapitalCost_ACTIVE*AB$55*IF(Scenario_Select='CBA Inputs'!$T46,1,0)</f>
        <v>0</v>
      </c>
      <c r="BN122" s="17">
        <f>IFERROR(IF(AC$58&gt;='CBA Inputs'!$R46,MAX('CBA Inputs'!$O46-'CBA Inputs'!$O46/'CBA Inputs'!$S46*(AC$58-'CBA Inputs'!$R46+1),0),0)*IF(AC$58=FirstYear+AnalysisPeriod-1,1,0),0)*CapitalCost_ACTIVE*AC$55*IF(Scenario_Select='CBA Inputs'!$T46,1,0)</f>
        <v>0</v>
      </c>
      <c r="BO122" s="17">
        <f>IFERROR(IF(AD$58&gt;='CBA Inputs'!$R46,MAX('CBA Inputs'!$O46-'CBA Inputs'!$O46/'CBA Inputs'!$S46*(AD$58-'CBA Inputs'!$R46+1),0),0)*IF(AD$58=FirstYear+AnalysisPeriod-1,1,0),0)*CapitalCost_ACTIVE*AD$55*IF(Scenario_Select='CBA Inputs'!$T46,1,0)</f>
        <v>0</v>
      </c>
      <c r="BP122" s="17">
        <f>IFERROR(IF(AE$58&gt;='CBA Inputs'!$R46,MAX('CBA Inputs'!$O46-'CBA Inputs'!$O46/'CBA Inputs'!$S46*(AE$58-'CBA Inputs'!$R46+1),0),0)*IF(AE$58=FirstYear+AnalysisPeriod-1,1,0),0)*CapitalCost_ACTIVE*AE$55*IF(Scenario_Select='CBA Inputs'!$T46,1,0)</f>
        <v>0</v>
      </c>
      <c r="BQ122" s="17">
        <f>IFERROR(IF(AF$58&gt;='CBA Inputs'!$R46,MAX('CBA Inputs'!$O46-'CBA Inputs'!$O46/'CBA Inputs'!$S46*(AF$58-'CBA Inputs'!$R46+1),0),0)*IF(AF$58=FirstYear+AnalysisPeriod-1,1,0),0)*CapitalCost_ACTIVE*AF$55*IF(Scenario_Select='CBA Inputs'!$T46,1,0)</f>
        <v>0</v>
      </c>
      <c r="BR122" s="17">
        <f>IFERROR(IF(AG$58&gt;='CBA Inputs'!$R46,MAX('CBA Inputs'!$O46-'CBA Inputs'!$O46/'CBA Inputs'!$S46*(AG$58-'CBA Inputs'!$R46+1),0),0)*IF(AG$58=FirstYear+AnalysisPeriod-1,1,0),0)*CapitalCost_ACTIVE*AG$55*IF(Scenario_Select='CBA Inputs'!$T46,1,0)</f>
        <v>0</v>
      </c>
      <c r="BS122" s="17">
        <f>IFERROR(IF(AH$58&gt;='CBA Inputs'!$R46,MAX('CBA Inputs'!$O46-'CBA Inputs'!$O46/'CBA Inputs'!$S46*(AH$58-'CBA Inputs'!$R46+1),0),0)*IF(AH$58=FirstYear+AnalysisPeriod-1,1,0),0)*CapitalCost_ACTIVE*AH$55*IF(Scenario_Select='CBA Inputs'!$T46,1,0)</f>
        <v>0</v>
      </c>
      <c r="BT122" s="17">
        <f>IFERROR(IF(AI$58&gt;='CBA Inputs'!$R46,MAX('CBA Inputs'!$O46-'CBA Inputs'!$O46/'CBA Inputs'!$S46*(AI$58-'CBA Inputs'!$R46+1),0),0)*IF(AI$58=FirstYear+AnalysisPeriod-1,1,0),0)*CapitalCost_ACTIVE*AI$55*IF(Scenario_Select='CBA Inputs'!$T46,1,0)</f>
        <v>0</v>
      </c>
      <c r="BU122" s="17">
        <f>IFERROR(IF(AJ$58&gt;='CBA Inputs'!$R46,MAX('CBA Inputs'!$O46-'CBA Inputs'!$O46/'CBA Inputs'!$S46*(AJ$58-'CBA Inputs'!$R46+1),0),0)*IF(AJ$58=FirstYear+AnalysisPeriod-1,1,0),0)*CapitalCost_ACTIVE*AJ$55*IF(Scenario_Select='CBA Inputs'!$T46,1,0)</f>
        <v>0</v>
      </c>
    </row>
    <row r="123" spans="2:73" x14ac:dyDescent="0.35">
      <c r="B123" s="9">
        <f t="shared" si="30"/>
        <v>12</v>
      </c>
      <c r="C123" s="26" t="str">
        <f t="shared" si="30"/>
        <v>Option 4C</v>
      </c>
      <c r="D123" s="26" t="str">
        <f t="shared" si="33"/>
        <v>Substation</v>
      </c>
      <c r="E123" s="12" t="s">
        <v>35</v>
      </c>
      <c r="F123" s="18">
        <f t="shared" si="34"/>
        <v>32975211.968561001</v>
      </c>
      <c r="G123" s="17">
        <f>IFERROR(IF(G$58&gt;='CBA Inputs'!$H47,MAX('CBA Inputs'!$E47-'CBA Inputs'!$E47/'CBA Inputs'!$I47*(G$58-'CBA Inputs'!$H47+1),0),0)*IF(G$58=FirstYear+AnalysisPeriod-1,1,0),0)*CapitalCost_ACTIVE*G$55</f>
        <v>0</v>
      </c>
      <c r="H123" s="17">
        <f>IFERROR(IF(H$58&gt;='CBA Inputs'!$H47,MAX('CBA Inputs'!$E47-'CBA Inputs'!$E47/'CBA Inputs'!$I47*(H$58-'CBA Inputs'!$H47+1),0),0)*IF(H$58=FirstYear+AnalysisPeriod-1,1,0),0)*CapitalCost_ACTIVE*H$55</f>
        <v>0</v>
      </c>
      <c r="I123" s="17">
        <f>IFERROR(IF(I$58&gt;='CBA Inputs'!$H47,MAX('CBA Inputs'!$E47-'CBA Inputs'!$E47/'CBA Inputs'!$I47*(I$58-'CBA Inputs'!$H47+1),0),0)*IF(I$58=FirstYear+AnalysisPeriod-1,1,0),0)*CapitalCost_ACTIVE*I$55</f>
        <v>0</v>
      </c>
      <c r="J123" s="17">
        <f>IFERROR(IF(J$58&gt;='CBA Inputs'!$H47,MAX('CBA Inputs'!$E47-'CBA Inputs'!$E47/'CBA Inputs'!$I47*(J$58-'CBA Inputs'!$H47+1),0),0)*IF(J$58=FirstYear+AnalysisPeriod-1,1,0),0)*CapitalCost_ACTIVE*J$55</f>
        <v>0</v>
      </c>
      <c r="K123" s="17">
        <f>IFERROR(IF(K$58&gt;='CBA Inputs'!$H47,MAX('CBA Inputs'!$E47-'CBA Inputs'!$E47/'CBA Inputs'!$I47*(K$58-'CBA Inputs'!$H47+1),0),0)*IF(K$58=FirstYear+AnalysisPeriod-1,1,0),0)*CapitalCost_ACTIVE*K$55</f>
        <v>0</v>
      </c>
      <c r="L123" s="17">
        <f>IFERROR(IF(L$58&gt;='CBA Inputs'!$H47,MAX('CBA Inputs'!$E47-'CBA Inputs'!$E47/'CBA Inputs'!$I47*(L$58-'CBA Inputs'!$H47+1),0),0)*IF(L$58=FirstYear+AnalysisPeriod-1,1,0),0)*CapitalCost_ACTIVE*L$55</f>
        <v>0</v>
      </c>
      <c r="M123" s="17">
        <f>IFERROR(IF(M$58&gt;='CBA Inputs'!$H47,MAX('CBA Inputs'!$E47-'CBA Inputs'!$E47/'CBA Inputs'!$I47*(M$58-'CBA Inputs'!$H47+1),0),0)*IF(M$58=FirstYear+AnalysisPeriod-1,1,0),0)*CapitalCost_ACTIVE*M$55</f>
        <v>0</v>
      </c>
      <c r="N123" s="17">
        <f>IFERROR(IF(N$58&gt;='CBA Inputs'!$H47,MAX('CBA Inputs'!$E47-'CBA Inputs'!$E47/'CBA Inputs'!$I47*(N$58-'CBA Inputs'!$H47+1),0),0)*IF(N$58=FirstYear+AnalysisPeriod-1,1,0),0)*CapitalCost_ACTIVE*N$55</f>
        <v>0</v>
      </c>
      <c r="O123" s="17">
        <f>IFERROR(IF(O$58&gt;='CBA Inputs'!$H47,MAX('CBA Inputs'!$E47-'CBA Inputs'!$E47/'CBA Inputs'!$I47*(O$58-'CBA Inputs'!$H47+1),0),0)*IF(O$58=FirstYear+AnalysisPeriod-1,1,0),0)*CapitalCost_ACTIVE*O$55</f>
        <v>0</v>
      </c>
      <c r="P123" s="17">
        <f>IFERROR(IF(P$58&gt;='CBA Inputs'!$H47,MAX('CBA Inputs'!$E47-'CBA Inputs'!$E47/'CBA Inputs'!$I47*(P$58-'CBA Inputs'!$H47+1),0),0)*IF(P$58=FirstYear+AnalysisPeriod-1,1,0),0)*CapitalCost_ACTIVE*P$55</f>
        <v>0</v>
      </c>
      <c r="Q123" s="17">
        <f>IFERROR(IF(Q$58&gt;='CBA Inputs'!$H47,MAX('CBA Inputs'!$E47-'CBA Inputs'!$E47/'CBA Inputs'!$I47*(Q$58-'CBA Inputs'!$H47+1),0),0)*IF(Q$58=FirstYear+AnalysisPeriod-1,1,0),0)*CapitalCost_ACTIVE*Q$55</f>
        <v>0</v>
      </c>
      <c r="R123" s="17">
        <f>IFERROR(IF(R$58&gt;='CBA Inputs'!$H47,MAX('CBA Inputs'!$E47-'CBA Inputs'!$E47/'CBA Inputs'!$I47*(R$58-'CBA Inputs'!$H47+1),0),0)*IF(R$58=FirstYear+AnalysisPeriod-1,1,0),0)*CapitalCost_ACTIVE*R$55</f>
        <v>0</v>
      </c>
      <c r="S123" s="17">
        <f>IFERROR(IF(S$58&gt;='CBA Inputs'!$H47,MAX('CBA Inputs'!$E47-'CBA Inputs'!$E47/'CBA Inputs'!$I47*(S$58-'CBA Inputs'!$H47+1),0),0)*IF(S$58=FirstYear+AnalysisPeriod-1,1,0),0)*CapitalCost_ACTIVE*S$55</f>
        <v>0</v>
      </c>
      <c r="T123" s="17">
        <f>IFERROR(IF(T$58&gt;='CBA Inputs'!$H47,MAX('CBA Inputs'!$E47-'CBA Inputs'!$E47/'CBA Inputs'!$I47*(T$58-'CBA Inputs'!$H47+1),0),0)*IF(T$58=FirstYear+AnalysisPeriod-1,1,0),0)*CapitalCost_ACTIVE*T$55</f>
        <v>0</v>
      </c>
      <c r="U123" s="17">
        <f>IFERROR(IF(U$58&gt;='CBA Inputs'!$H47,MAX('CBA Inputs'!$E47-'CBA Inputs'!$E47/'CBA Inputs'!$I47*(U$58-'CBA Inputs'!$H47+1),0),0)*IF(U$58=FirstYear+AnalysisPeriod-1,1,0),0)*CapitalCost_ACTIVE*U$55</f>
        <v>0</v>
      </c>
      <c r="V123" s="17">
        <f>IFERROR(IF(V$58&gt;='CBA Inputs'!$H47,MAX('CBA Inputs'!$E47-'CBA Inputs'!$E47/'CBA Inputs'!$I47*(V$58-'CBA Inputs'!$H47+1),0),0)*IF(V$58=FirstYear+AnalysisPeriod-1,1,0),0)*CapitalCost_ACTIVE*V$55</f>
        <v>0</v>
      </c>
      <c r="W123" s="17">
        <f>IFERROR(IF(W$58&gt;='CBA Inputs'!$H47,MAX('CBA Inputs'!$E47-'CBA Inputs'!$E47/'CBA Inputs'!$I47*(W$58-'CBA Inputs'!$H47+1),0),0)*IF(W$58=FirstYear+AnalysisPeriod-1,1,0),0)*CapitalCost_ACTIVE*W$55</f>
        <v>0</v>
      </c>
      <c r="X123" s="17">
        <f>IFERROR(IF(X$58&gt;='CBA Inputs'!$H47,MAX('CBA Inputs'!$E47-'CBA Inputs'!$E47/'CBA Inputs'!$I47*(X$58-'CBA Inputs'!$H47+1),0),0)*IF(X$58=FirstYear+AnalysisPeriod-1,1,0),0)*CapitalCost_ACTIVE*X$55</f>
        <v>0</v>
      </c>
      <c r="Y123" s="17">
        <f>IFERROR(IF(Y$58&gt;='CBA Inputs'!$H47,MAX('CBA Inputs'!$E47-'CBA Inputs'!$E47/'CBA Inputs'!$I47*(Y$58-'CBA Inputs'!$H47+1),0),0)*IF(Y$58=FirstYear+AnalysisPeriod-1,1,0),0)*CapitalCost_ACTIVE*Y$55</f>
        <v>0</v>
      </c>
      <c r="Z123" s="17">
        <f>IFERROR(IF(Z$58&gt;='CBA Inputs'!$H47,MAX('CBA Inputs'!$E47-'CBA Inputs'!$E47/'CBA Inputs'!$I47*(Z$58-'CBA Inputs'!$H47+1),0),0)*IF(Z$58=FirstYear+AnalysisPeriod-1,1,0),0)*CapitalCost_ACTIVE*Z$55</f>
        <v>0</v>
      </c>
      <c r="AA123" s="17">
        <f>IFERROR(IF(AA$58&gt;='CBA Inputs'!$H47,MAX('CBA Inputs'!$E47-'CBA Inputs'!$E47/'CBA Inputs'!$I47*(AA$58-'CBA Inputs'!$H47+1),0),0)*IF(AA$58=FirstYear+AnalysisPeriod-1,1,0),0)*CapitalCost_ACTIVE*AA$55</f>
        <v>0</v>
      </c>
      <c r="AB123" s="17">
        <f>IFERROR(IF(AB$58&gt;='CBA Inputs'!$H47,MAX('CBA Inputs'!$E47-'CBA Inputs'!$E47/'CBA Inputs'!$I47*(AB$58-'CBA Inputs'!$H47+1),0),0)*IF(AB$58=FirstYear+AnalysisPeriod-1,1,0),0)*CapitalCost_ACTIVE*AB$55</f>
        <v>0</v>
      </c>
      <c r="AC123" s="17">
        <f>IFERROR(IF(AC$58&gt;='CBA Inputs'!$H47,MAX('CBA Inputs'!$E47-'CBA Inputs'!$E47/'CBA Inputs'!$I47*(AC$58-'CBA Inputs'!$H47+1),0),0)*IF(AC$58=FirstYear+AnalysisPeriod-1,1,0),0)*CapitalCost_ACTIVE*AC$55</f>
        <v>0</v>
      </c>
      <c r="AD123" s="17">
        <f>IFERROR(IF(AD$58&gt;='CBA Inputs'!$H47,MAX('CBA Inputs'!$E47-'CBA Inputs'!$E47/'CBA Inputs'!$I47*(AD$58-'CBA Inputs'!$H47+1),0),0)*IF(AD$58=FirstYear+AnalysisPeriod-1,1,0),0)*CapitalCost_ACTIVE*AD$55</f>
        <v>0</v>
      </c>
      <c r="AE123" s="17">
        <f>IFERROR(IF(AE$58&gt;='CBA Inputs'!$H47,MAX('CBA Inputs'!$E47-'CBA Inputs'!$E47/'CBA Inputs'!$I47*(AE$58-'CBA Inputs'!$H47+1),0),0)*IF(AE$58=FirstYear+AnalysisPeriod-1,1,0),0)*CapitalCost_ACTIVE*AE$55</f>
        <v>0</v>
      </c>
      <c r="AF123" s="17">
        <f>IFERROR(IF(AF$58&gt;='CBA Inputs'!$H47,MAX('CBA Inputs'!$E47-'CBA Inputs'!$E47/'CBA Inputs'!$I47*(AF$58-'CBA Inputs'!$H47+1),0),0)*IF(AF$58=FirstYear+AnalysisPeriod-1,1,0),0)*CapitalCost_ACTIVE*AF$55</f>
        <v>138225000</v>
      </c>
      <c r="AG123" s="17">
        <f>IFERROR(IF(AG$58&gt;='CBA Inputs'!$H47,MAX('CBA Inputs'!$E47-'CBA Inputs'!$E47/'CBA Inputs'!$I47*(AG$58-'CBA Inputs'!$H47+1),0),0)*IF(AG$58=FirstYear+AnalysisPeriod-1,1,0),0)*CapitalCost_ACTIVE*AG$55</f>
        <v>0</v>
      </c>
      <c r="AH123" s="17">
        <f>IFERROR(IF(AH$58&gt;='CBA Inputs'!$H47,MAX('CBA Inputs'!$E47-'CBA Inputs'!$E47/'CBA Inputs'!$I47*(AH$58-'CBA Inputs'!$H47+1),0),0)*IF(AH$58=FirstYear+AnalysisPeriod-1,1,0),0)*CapitalCost_ACTIVE*AH$55</f>
        <v>0</v>
      </c>
      <c r="AI123" s="17">
        <f>IFERROR(IF(AI$58&gt;='CBA Inputs'!$H47,MAX('CBA Inputs'!$E47-'CBA Inputs'!$E47/'CBA Inputs'!$I47*(AI$58-'CBA Inputs'!$H47+1),0),0)*IF(AI$58=FirstYear+AnalysisPeriod-1,1,0),0)*CapitalCost_ACTIVE*AI$55</f>
        <v>0</v>
      </c>
      <c r="AJ123" s="17">
        <f>IFERROR(IF(AJ$58&gt;='CBA Inputs'!$H47,MAX('CBA Inputs'!$E47-'CBA Inputs'!$E47/'CBA Inputs'!$I47*(AJ$58-'CBA Inputs'!$H47+1),0),0)*IF(AJ$58=FirstYear+AnalysisPeriod-1,1,0),0)*CapitalCost_ACTIVE*AJ$55</f>
        <v>0</v>
      </c>
      <c r="AM123" s="9" t="str">
        <f t="shared" si="35"/>
        <v/>
      </c>
      <c r="AN123" s="26">
        <f t="shared" si="35"/>
        <v>0</v>
      </c>
      <c r="AO123" s="26">
        <f t="shared" si="35"/>
        <v>0</v>
      </c>
      <c r="AP123" s="12" t="s">
        <v>35</v>
      </c>
      <c r="AQ123" s="18">
        <f t="shared" si="36"/>
        <v>0</v>
      </c>
      <c r="AR123" s="17">
        <f>IFERROR(IF(G$58&gt;='CBA Inputs'!$R47,MAX('CBA Inputs'!$O47-'CBA Inputs'!$O47/'CBA Inputs'!$S47*(G$58-'CBA Inputs'!$R47+1),0),0)*IF(G$58=FirstYear+AnalysisPeriod-1,1,0),0)*CapitalCost_ACTIVE*G$55*IF(Scenario_Select='CBA Inputs'!$T47,1,0)</f>
        <v>0</v>
      </c>
      <c r="AS123" s="17">
        <f>IFERROR(IF(H$58&gt;='CBA Inputs'!$R47,MAX('CBA Inputs'!$O47-'CBA Inputs'!$O47/'CBA Inputs'!$S47*(H$58-'CBA Inputs'!$R47+1),0),0)*IF(H$58=FirstYear+AnalysisPeriod-1,1,0),0)*CapitalCost_ACTIVE*H$55*IF(Scenario_Select='CBA Inputs'!$T47,1,0)</f>
        <v>0</v>
      </c>
      <c r="AT123" s="17">
        <f>IFERROR(IF(I$58&gt;='CBA Inputs'!$R47,MAX('CBA Inputs'!$O47-'CBA Inputs'!$O47/'CBA Inputs'!$S47*(I$58-'CBA Inputs'!$R47+1),0),0)*IF(I$58=FirstYear+AnalysisPeriod-1,1,0),0)*CapitalCost_ACTIVE*I$55*IF(Scenario_Select='CBA Inputs'!$T47,1,0)</f>
        <v>0</v>
      </c>
      <c r="AU123" s="17">
        <f>IFERROR(IF(J$58&gt;='CBA Inputs'!$R47,MAX('CBA Inputs'!$O47-'CBA Inputs'!$O47/'CBA Inputs'!$S47*(J$58-'CBA Inputs'!$R47+1),0),0)*IF(J$58=FirstYear+AnalysisPeriod-1,1,0),0)*CapitalCost_ACTIVE*J$55*IF(Scenario_Select='CBA Inputs'!$T47,1,0)</f>
        <v>0</v>
      </c>
      <c r="AV123" s="17">
        <f>IFERROR(IF(K$58&gt;='CBA Inputs'!$R47,MAX('CBA Inputs'!$O47-'CBA Inputs'!$O47/'CBA Inputs'!$S47*(K$58-'CBA Inputs'!$R47+1),0),0)*IF(K$58=FirstYear+AnalysisPeriod-1,1,0),0)*CapitalCost_ACTIVE*K$55*IF(Scenario_Select='CBA Inputs'!$T47,1,0)</f>
        <v>0</v>
      </c>
      <c r="AW123" s="17">
        <f>IFERROR(IF(L$58&gt;='CBA Inputs'!$R47,MAX('CBA Inputs'!$O47-'CBA Inputs'!$O47/'CBA Inputs'!$S47*(L$58-'CBA Inputs'!$R47+1),0),0)*IF(L$58=FirstYear+AnalysisPeriod-1,1,0),0)*CapitalCost_ACTIVE*L$55*IF(Scenario_Select='CBA Inputs'!$T47,1,0)</f>
        <v>0</v>
      </c>
      <c r="AX123" s="17">
        <f>IFERROR(IF(M$58&gt;='CBA Inputs'!$R47,MAX('CBA Inputs'!$O47-'CBA Inputs'!$O47/'CBA Inputs'!$S47*(M$58-'CBA Inputs'!$R47+1),0),0)*IF(M$58=FirstYear+AnalysisPeriod-1,1,0),0)*CapitalCost_ACTIVE*M$55*IF(Scenario_Select='CBA Inputs'!$T47,1,0)</f>
        <v>0</v>
      </c>
      <c r="AY123" s="17">
        <f>IFERROR(IF(N$58&gt;='CBA Inputs'!$R47,MAX('CBA Inputs'!$O47-'CBA Inputs'!$O47/'CBA Inputs'!$S47*(N$58-'CBA Inputs'!$R47+1),0),0)*IF(N$58=FirstYear+AnalysisPeriod-1,1,0),0)*CapitalCost_ACTIVE*N$55*IF(Scenario_Select='CBA Inputs'!$T47,1,0)</f>
        <v>0</v>
      </c>
      <c r="AZ123" s="17">
        <f>IFERROR(IF(O$58&gt;='CBA Inputs'!$R47,MAX('CBA Inputs'!$O47-'CBA Inputs'!$O47/'CBA Inputs'!$S47*(O$58-'CBA Inputs'!$R47+1),0),0)*IF(O$58=FirstYear+AnalysisPeriod-1,1,0),0)*CapitalCost_ACTIVE*O$55*IF(Scenario_Select='CBA Inputs'!$T47,1,0)</f>
        <v>0</v>
      </c>
      <c r="BA123" s="17">
        <f>IFERROR(IF(P$58&gt;='CBA Inputs'!$R47,MAX('CBA Inputs'!$O47-'CBA Inputs'!$O47/'CBA Inputs'!$S47*(P$58-'CBA Inputs'!$R47+1),0),0)*IF(P$58=FirstYear+AnalysisPeriod-1,1,0),0)*CapitalCost_ACTIVE*P$55*IF(Scenario_Select='CBA Inputs'!$T47,1,0)</f>
        <v>0</v>
      </c>
      <c r="BB123" s="17">
        <f>IFERROR(IF(Q$58&gt;='CBA Inputs'!$R47,MAX('CBA Inputs'!$O47-'CBA Inputs'!$O47/'CBA Inputs'!$S47*(Q$58-'CBA Inputs'!$R47+1),0),0)*IF(Q$58=FirstYear+AnalysisPeriod-1,1,0),0)*CapitalCost_ACTIVE*Q$55*IF(Scenario_Select='CBA Inputs'!$T47,1,0)</f>
        <v>0</v>
      </c>
      <c r="BC123" s="17">
        <f>IFERROR(IF(R$58&gt;='CBA Inputs'!$R47,MAX('CBA Inputs'!$O47-'CBA Inputs'!$O47/'CBA Inputs'!$S47*(R$58-'CBA Inputs'!$R47+1),0),0)*IF(R$58=FirstYear+AnalysisPeriod-1,1,0),0)*CapitalCost_ACTIVE*R$55*IF(Scenario_Select='CBA Inputs'!$T47,1,0)</f>
        <v>0</v>
      </c>
      <c r="BD123" s="17">
        <f>IFERROR(IF(S$58&gt;='CBA Inputs'!$R47,MAX('CBA Inputs'!$O47-'CBA Inputs'!$O47/'CBA Inputs'!$S47*(S$58-'CBA Inputs'!$R47+1),0),0)*IF(S$58=FirstYear+AnalysisPeriod-1,1,0),0)*CapitalCost_ACTIVE*S$55*IF(Scenario_Select='CBA Inputs'!$T47,1,0)</f>
        <v>0</v>
      </c>
      <c r="BE123" s="17">
        <f>IFERROR(IF(T$58&gt;='CBA Inputs'!$R47,MAX('CBA Inputs'!$O47-'CBA Inputs'!$O47/'CBA Inputs'!$S47*(T$58-'CBA Inputs'!$R47+1),0),0)*IF(T$58=FirstYear+AnalysisPeriod-1,1,0),0)*CapitalCost_ACTIVE*T$55*IF(Scenario_Select='CBA Inputs'!$T47,1,0)</f>
        <v>0</v>
      </c>
      <c r="BF123" s="17">
        <f>IFERROR(IF(U$58&gt;='CBA Inputs'!$R47,MAX('CBA Inputs'!$O47-'CBA Inputs'!$O47/'CBA Inputs'!$S47*(U$58-'CBA Inputs'!$R47+1),0),0)*IF(U$58=FirstYear+AnalysisPeriod-1,1,0),0)*CapitalCost_ACTIVE*U$55*IF(Scenario_Select='CBA Inputs'!$T47,1,0)</f>
        <v>0</v>
      </c>
      <c r="BG123" s="17">
        <f>IFERROR(IF(V$58&gt;='CBA Inputs'!$R47,MAX('CBA Inputs'!$O47-'CBA Inputs'!$O47/'CBA Inputs'!$S47*(V$58-'CBA Inputs'!$R47+1),0),0)*IF(V$58=FirstYear+AnalysisPeriod-1,1,0),0)*CapitalCost_ACTIVE*V$55*IF(Scenario_Select='CBA Inputs'!$T47,1,0)</f>
        <v>0</v>
      </c>
      <c r="BH123" s="17">
        <f>IFERROR(IF(W$58&gt;='CBA Inputs'!$R47,MAX('CBA Inputs'!$O47-'CBA Inputs'!$O47/'CBA Inputs'!$S47*(W$58-'CBA Inputs'!$R47+1),0),0)*IF(W$58=FirstYear+AnalysisPeriod-1,1,0),0)*CapitalCost_ACTIVE*W$55*IF(Scenario_Select='CBA Inputs'!$T47,1,0)</f>
        <v>0</v>
      </c>
      <c r="BI123" s="17">
        <f>IFERROR(IF(X$58&gt;='CBA Inputs'!$R47,MAX('CBA Inputs'!$O47-'CBA Inputs'!$O47/'CBA Inputs'!$S47*(X$58-'CBA Inputs'!$R47+1),0),0)*IF(X$58=FirstYear+AnalysisPeriod-1,1,0),0)*CapitalCost_ACTIVE*X$55*IF(Scenario_Select='CBA Inputs'!$T47,1,0)</f>
        <v>0</v>
      </c>
      <c r="BJ123" s="17">
        <f>IFERROR(IF(Y$58&gt;='CBA Inputs'!$R47,MAX('CBA Inputs'!$O47-'CBA Inputs'!$O47/'CBA Inputs'!$S47*(Y$58-'CBA Inputs'!$R47+1),0),0)*IF(Y$58=FirstYear+AnalysisPeriod-1,1,0),0)*CapitalCost_ACTIVE*Y$55*IF(Scenario_Select='CBA Inputs'!$T47,1,0)</f>
        <v>0</v>
      </c>
      <c r="BK123" s="17">
        <f>IFERROR(IF(Z$58&gt;='CBA Inputs'!$R47,MAX('CBA Inputs'!$O47-'CBA Inputs'!$O47/'CBA Inputs'!$S47*(Z$58-'CBA Inputs'!$R47+1),0),0)*IF(Z$58=FirstYear+AnalysisPeriod-1,1,0),0)*CapitalCost_ACTIVE*Z$55*IF(Scenario_Select='CBA Inputs'!$T47,1,0)</f>
        <v>0</v>
      </c>
      <c r="BL123" s="17">
        <f>IFERROR(IF(AA$58&gt;='CBA Inputs'!$R47,MAX('CBA Inputs'!$O47-'CBA Inputs'!$O47/'CBA Inputs'!$S47*(AA$58-'CBA Inputs'!$R47+1),0),0)*IF(AA$58=FirstYear+AnalysisPeriod-1,1,0),0)*CapitalCost_ACTIVE*AA$55*IF(Scenario_Select='CBA Inputs'!$T47,1,0)</f>
        <v>0</v>
      </c>
      <c r="BM123" s="17">
        <f>IFERROR(IF(AB$58&gt;='CBA Inputs'!$R47,MAX('CBA Inputs'!$O47-'CBA Inputs'!$O47/'CBA Inputs'!$S47*(AB$58-'CBA Inputs'!$R47+1),0),0)*IF(AB$58=FirstYear+AnalysisPeriod-1,1,0),0)*CapitalCost_ACTIVE*AB$55*IF(Scenario_Select='CBA Inputs'!$T47,1,0)</f>
        <v>0</v>
      </c>
      <c r="BN123" s="17">
        <f>IFERROR(IF(AC$58&gt;='CBA Inputs'!$R47,MAX('CBA Inputs'!$O47-'CBA Inputs'!$O47/'CBA Inputs'!$S47*(AC$58-'CBA Inputs'!$R47+1),0),0)*IF(AC$58=FirstYear+AnalysisPeriod-1,1,0),0)*CapitalCost_ACTIVE*AC$55*IF(Scenario_Select='CBA Inputs'!$T47,1,0)</f>
        <v>0</v>
      </c>
      <c r="BO123" s="17">
        <f>IFERROR(IF(AD$58&gt;='CBA Inputs'!$R47,MAX('CBA Inputs'!$O47-'CBA Inputs'!$O47/'CBA Inputs'!$S47*(AD$58-'CBA Inputs'!$R47+1),0),0)*IF(AD$58=FirstYear+AnalysisPeriod-1,1,0),0)*CapitalCost_ACTIVE*AD$55*IF(Scenario_Select='CBA Inputs'!$T47,1,0)</f>
        <v>0</v>
      </c>
      <c r="BP123" s="17">
        <f>IFERROR(IF(AE$58&gt;='CBA Inputs'!$R47,MAX('CBA Inputs'!$O47-'CBA Inputs'!$O47/'CBA Inputs'!$S47*(AE$58-'CBA Inputs'!$R47+1),0),0)*IF(AE$58=FirstYear+AnalysisPeriod-1,1,0),0)*CapitalCost_ACTIVE*AE$55*IF(Scenario_Select='CBA Inputs'!$T47,1,0)</f>
        <v>0</v>
      </c>
      <c r="BQ123" s="17">
        <f>IFERROR(IF(AF$58&gt;='CBA Inputs'!$R47,MAX('CBA Inputs'!$O47-'CBA Inputs'!$O47/'CBA Inputs'!$S47*(AF$58-'CBA Inputs'!$R47+1),0),0)*IF(AF$58=FirstYear+AnalysisPeriod-1,1,0),0)*CapitalCost_ACTIVE*AF$55*IF(Scenario_Select='CBA Inputs'!$T47,1,0)</f>
        <v>0</v>
      </c>
      <c r="BR123" s="17">
        <f>IFERROR(IF(AG$58&gt;='CBA Inputs'!$R47,MAX('CBA Inputs'!$O47-'CBA Inputs'!$O47/'CBA Inputs'!$S47*(AG$58-'CBA Inputs'!$R47+1),0),0)*IF(AG$58=FirstYear+AnalysisPeriod-1,1,0),0)*CapitalCost_ACTIVE*AG$55*IF(Scenario_Select='CBA Inputs'!$T47,1,0)</f>
        <v>0</v>
      </c>
      <c r="BS123" s="17">
        <f>IFERROR(IF(AH$58&gt;='CBA Inputs'!$R47,MAX('CBA Inputs'!$O47-'CBA Inputs'!$O47/'CBA Inputs'!$S47*(AH$58-'CBA Inputs'!$R47+1),0),0)*IF(AH$58=FirstYear+AnalysisPeriod-1,1,0),0)*CapitalCost_ACTIVE*AH$55*IF(Scenario_Select='CBA Inputs'!$T47,1,0)</f>
        <v>0</v>
      </c>
      <c r="BT123" s="17">
        <f>IFERROR(IF(AI$58&gt;='CBA Inputs'!$R47,MAX('CBA Inputs'!$O47-'CBA Inputs'!$O47/'CBA Inputs'!$S47*(AI$58-'CBA Inputs'!$R47+1),0),0)*IF(AI$58=FirstYear+AnalysisPeriod-1,1,0),0)*CapitalCost_ACTIVE*AI$55*IF(Scenario_Select='CBA Inputs'!$T47,1,0)</f>
        <v>0</v>
      </c>
      <c r="BU123" s="17">
        <f>IFERROR(IF(AJ$58&gt;='CBA Inputs'!$R47,MAX('CBA Inputs'!$O47-'CBA Inputs'!$O47/'CBA Inputs'!$S47*(AJ$58-'CBA Inputs'!$R47+1),0),0)*IF(AJ$58=FirstYear+AnalysisPeriod-1,1,0),0)*CapitalCost_ACTIVE*AJ$55*IF(Scenario_Select='CBA Inputs'!$T47,1,0)</f>
        <v>0</v>
      </c>
    </row>
    <row r="124" spans="2:73" x14ac:dyDescent="0.35">
      <c r="B124" s="9">
        <f t="shared" si="30"/>
        <v>12</v>
      </c>
      <c r="C124" s="26" t="str">
        <f t="shared" si="30"/>
        <v>Option 4C</v>
      </c>
      <c r="D124" s="26" t="str">
        <f t="shared" si="33"/>
        <v>Lines</v>
      </c>
      <c r="E124" s="12" t="s">
        <v>35</v>
      </c>
      <c r="F124" s="18">
        <f t="shared" si="34"/>
        <v>55107787.771659188</v>
      </c>
      <c r="G124" s="17">
        <f>IFERROR(IF(G$58&gt;='CBA Inputs'!$H48,MAX('CBA Inputs'!$E48-'CBA Inputs'!$E48/'CBA Inputs'!$I48*(G$58-'CBA Inputs'!$H48+1),0),0)*IF(G$58=FirstYear+AnalysisPeriod-1,1,0),0)*CapitalCost_ACTIVE*G$55</f>
        <v>0</v>
      </c>
      <c r="H124" s="17">
        <f>IFERROR(IF(H$58&gt;='CBA Inputs'!$H48,MAX('CBA Inputs'!$E48-'CBA Inputs'!$E48/'CBA Inputs'!$I48*(H$58-'CBA Inputs'!$H48+1),0),0)*IF(H$58=FirstYear+AnalysisPeriod-1,1,0),0)*CapitalCost_ACTIVE*H$55</f>
        <v>0</v>
      </c>
      <c r="I124" s="17">
        <f>IFERROR(IF(I$58&gt;='CBA Inputs'!$H48,MAX('CBA Inputs'!$E48-'CBA Inputs'!$E48/'CBA Inputs'!$I48*(I$58-'CBA Inputs'!$H48+1),0),0)*IF(I$58=FirstYear+AnalysisPeriod-1,1,0),0)*CapitalCost_ACTIVE*I$55</f>
        <v>0</v>
      </c>
      <c r="J124" s="17">
        <f>IFERROR(IF(J$58&gt;='CBA Inputs'!$H48,MAX('CBA Inputs'!$E48-'CBA Inputs'!$E48/'CBA Inputs'!$I48*(J$58-'CBA Inputs'!$H48+1),0),0)*IF(J$58=FirstYear+AnalysisPeriod-1,1,0),0)*CapitalCost_ACTIVE*J$55</f>
        <v>0</v>
      </c>
      <c r="K124" s="17">
        <f>IFERROR(IF(K$58&gt;='CBA Inputs'!$H48,MAX('CBA Inputs'!$E48-'CBA Inputs'!$E48/'CBA Inputs'!$I48*(K$58-'CBA Inputs'!$H48+1),0),0)*IF(K$58=FirstYear+AnalysisPeriod-1,1,0),0)*CapitalCost_ACTIVE*K$55</f>
        <v>0</v>
      </c>
      <c r="L124" s="17">
        <f>IFERROR(IF(L$58&gt;='CBA Inputs'!$H48,MAX('CBA Inputs'!$E48-'CBA Inputs'!$E48/'CBA Inputs'!$I48*(L$58-'CBA Inputs'!$H48+1),0),0)*IF(L$58=FirstYear+AnalysisPeriod-1,1,0),0)*CapitalCost_ACTIVE*L$55</f>
        <v>0</v>
      </c>
      <c r="M124" s="17">
        <f>IFERROR(IF(M$58&gt;='CBA Inputs'!$H48,MAX('CBA Inputs'!$E48-'CBA Inputs'!$E48/'CBA Inputs'!$I48*(M$58-'CBA Inputs'!$H48+1),0),0)*IF(M$58=FirstYear+AnalysisPeriod-1,1,0),0)*CapitalCost_ACTIVE*M$55</f>
        <v>0</v>
      </c>
      <c r="N124" s="17">
        <f>IFERROR(IF(N$58&gt;='CBA Inputs'!$H48,MAX('CBA Inputs'!$E48-'CBA Inputs'!$E48/'CBA Inputs'!$I48*(N$58-'CBA Inputs'!$H48+1),0),0)*IF(N$58=FirstYear+AnalysisPeriod-1,1,0),0)*CapitalCost_ACTIVE*N$55</f>
        <v>0</v>
      </c>
      <c r="O124" s="17">
        <f>IFERROR(IF(O$58&gt;='CBA Inputs'!$H48,MAX('CBA Inputs'!$E48-'CBA Inputs'!$E48/'CBA Inputs'!$I48*(O$58-'CBA Inputs'!$H48+1),0),0)*IF(O$58=FirstYear+AnalysisPeriod-1,1,0),0)*CapitalCost_ACTIVE*O$55</f>
        <v>0</v>
      </c>
      <c r="P124" s="17">
        <f>IFERROR(IF(P$58&gt;='CBA Inputs'!$H48,MAX('CBA Inputs'!$E48-'CBA Inputs'!$E48/'CBA Inputs'!$I48*(P$58-'CBA Inputs'!$H48+1),0),0)*IF(P$58=FirstYear+AnalysisPeriod-1,1,0),0)*CapitalCost_ACTIVE*P$55</f>
        <v>0</v>
      </c>
      <c r="Q124" s="17">
        <f>IFERROR(IF(Q$58&gt;='CBA Inputs'!$H48,MAX('CBA Inputs'!$E48-'CBA Inputs'!$E48/'CBA Inputs'!$I48*(Q$58-'CBA Inputs'!$H48+1),0),0)*IF(Q$58=FirstYear+AnalysisPeriod-1,1,0),0)*CapitalCost_ACTIVE*Q$55</f>
        <v>0</v>
      </c>
      <c r="R124" s="17">
        <f>IFERROR(IF(R$58&gt;='CBA Inputs'!$H48,MAX('CBA Inputs'!$E48-'CBA Inputs'!$E48/'CBA Inputs'!$I48*(R$58-'CBA Inputs'!$H48+1),0),0)*IF(R$58=FirstYear+AnalysisPeriod-1,1,0),0)*CapitalCost_ACTIVE*R$55</f>
        <v>0</v>
      </c>
      <c r="S124" s="17">
        <f>IFERROR(IF(S$58&gt;='CBA Inputs'!$H48,MAX('CBA Inputs'!$E48-'CBA Inputs'!$E48/'CBA Inputs'!$I48*(S$58-'CBA Inputs'!$H48+1),0),0)*IF(S$58=FirstYear+AnalysisPeriod-1,1,0),0)*CapitalCost_ACTIVE*S$55</f>
        <v>0</v>
      </c>
      <c r="T124" s="17">
        <f>IFERROR(IF(T$58&gt;='CBA Inputs'!$H48,MAX('CBA Inputs'!$E48-'CBA Inputs'!$E48/'CBA Inputs'!$I48*(T$58-'CBA Inputs'!$H48+1),0),0)*IF(T$58=FirstYear+AnalysisPeriod-1,1,0),0)*CapitalCost_ACTIVE*T$55</f>
        <v>0</v>
      </c>
      <c r="U124" s="17">
        <f>IFERROR(IF(U$58&gt;='CBA Inputs'!$H48,MAX('CBA Inputs'!$E48-'CBA Inputs'!$E48/'CBA Inputs'!$I48*(U$58-'CBA Inputs'!$H48+1),0),0)*IF(U$58=FirstYear+AnalysisPeriod-1,1,0),0)*CapitalCost_ACTIVE*U$55</f>
        <v>0</v>
      </c>
      <c r="V124" s="17">
        <f>IFERROR(IF(V$58&gt;='CBA Inputs'!$H48,MAX('CBA Inputs'!$E48-'CBA Inputs'!$E48/'CBA Inputs'!$I48*(V$58-'CBA Inputs'!$H48+1),0),0)*IF(V$58=FirstYear+AnalysisPeriod-1,1,0),0)*CapitalCost_ACTIVE*V$55</f>
        <v>0</v>
      </c>
      <c r="W124" s="17">
        <f>IFERROR(IF(W$58&gt;='CBA Inputs'!$H48,MAX('CBA Inputs'!$E48-'CBA Inputs'!$E48/'CBA Inputs'!$I48*(W$58-'CBA Inputs'!$H48+1),0),0)*IF(W$58=FirstYear+AnalysisPeriod-1,1,0),0)*CapitalCost_ACTIVE*W$55</f>
        <v>0</v>
      </c>
      <c r="X124" s="17">
        <f>IFERROR(IF(X$58&gt;='CBA Inputs'!$H48,MAX('CBA Inputs'!$E48-'CBA Inputs'!$E48/'CBA Inputs'!$I48*(X$58-'CBA Inputs'!$H48+1),0),0)*IF(X$58=FirstYear+AnalysisPeriod-1,1,0),0)*CapitalCost_ACTIVE*X$55</f>
        <v>0</v>
      </c>
      <c r="Y124" s="17">
        <f>IFERROR(IF(Y$58&gt;='CBA Inputs'!$H48,MAX('CBA Inputs'!$E48-'CBA Inputs'!$E48/'CBA Inputs'!$I48*(Y$58-'CBA Inputs'!$H48+1),0),0)*IF(Y$58=FirstYear+AnalysisPeriod-1,1,0),0)*CapitalCost_ACTIVE*Y$55</f>
        <v>0</v>
      </c>
      <c r="Z124" s="17">
        <f>IFERROR(IF(Z$58&gt;='CBA Inputs'!$H48,MAX('CBA Inputs'!$E48-'CBA Inputs'!$E48/'CBA Inputs'!$I48*(Z$58-'CBA Inputs'!$H48+1),0),0)*IF(Z$58=FirstYear+AnalysisPeriod-1,1,0),0)*CapitalCost_ACTIVE*Z$55</f>
        <v>0</v>
      </c>
      <c r="AA124" s="17">
        <f>IFERROR(IF(AA$58&gt;='CBA Inputs'!$H48,MAX('CBA Inputs'!$E48-'CBA Inputs'!$E48/'CBA Inputs'!$I48*(AA$58-'CBA Inputs'!$H48+1),0),0)*IF(AA$58=FirstYear+AnalysisPeriod-1,1,0),0)*CapitalCost_ACTIVE*AA$55</f>
        <v>0</v>
      </c>
      <c r="AB124" s="17">
        <f>IFERROR(IF(AB$58&gt;='CBA Inputs'!$H48,MAX('CBA Inputs'!$E48-'CBA Inputs'!$E48/'CBA Inputs'!$I48*(AB$58-'CBA Inputs'!$H48+1),0),0)*IF(AB$58=FirstYear+AnalysisPeriod-1,1,0),0)*CapitalCost_ACTIVE*AB$55</f>
        <v>0</v>
      </c>
      <c r="AC124" s="17">
        <f>IFERROR(IF(AC$58&gt;='CBA Inputs'!$H48,MAX('CBA Inputs'!$E48-'CBA Inputs'!$E48/'CBA Inputs'!$I48*(AC$58-'CBA Inputs'!$H48+1),0),0)*IF(AC$58=FirstYear+AnalysisPeriod-1,1,0),0)*CapitalCost_ACTIVE*AC$55</f>
        <v>0</v>
      </c>
      <c r="AD124" s="17">
        <f>IFERROR(IF(AD$58&gt;='CBA Inputs'!$H48,MAX('CBA Inputs'!$E48-'CBA Inputs'!$E48/'CBA Inputs'!$I48*(AD$58-'CBA Inputs'!$H48+1),0),0)*IF(AD$58=FirstYear+AnalysisPeriod-1,1,0),0)*CapitalCost_ACTIVE*AD$55</f>
        <v>0</v>
      </c>
      <c r="AE124" s="17">
        <f>IFERROR(IF(AE$58&gt;='CBA Inputs'!$H48,MAX('CBA Inputs'!$E48-'CBA Inputs'!$E48/'CBA Inputs'!$I48*(AE$58-'CBA Inputs'!$H48+1),0),0)*IF(AE$58=FirstYear+AnalysisPeriod-1,1,0),0)*CapitalCost_ACTIVE*AE$55</f>
        <v>0</v>
      </c>
      <c r="AF124" s="17">
        <f>IFERROR(IF(AF$58&gt;='CBA Inputs'!$H48,MAX('CBA Inputs'!$E48-'CBA Inputs'!$E48/'CBA Inputs'!$I48*(AF$58-'CBA Inputs'!$H48+1),0),0)*IF(AF$58=FirstYear+AnalysisPeriod-1,1,0),0)*CapitalCost_ACTIVE*AF$55</f>
        <v>231000000</v>
      </c>
      <c r="AG124" s="17">
        <f>IFERROR(IF(AG$58&gt;='CBA Inputs'!$H48,MAX('CBA Inputs'!$E48-'CBA Inputs'!$E48/'CBA Inputs'!$I48*(AG$58-'CBA Inputs'!$H48+1),0),0)*IF(AG$58=FirstYear+AnalysisPeriod-1,1,0),0)*CapitalCost_ACTIVE*AG$55</f>
        <v>0</v>
      </c>
      <c r="AH124" s="17">
        <f>IFERROR(IF(AH$58&gt;='CBA Inputs'!$H48,MAX('CBA Inputs'!$E48-'CBA Inputs'!$E48/'CBA Inputs'!$I48*(AH$58-'CBA Inputs'!$H48+1),0),0)*IF(AH$58=FirstYear+AnalysisPeriod-1,1,0),0)*CapitalCost_ACTIVE*AH$55</f>
        <v>0</v>
      </c>
      <c r="AI124" s="17">
        <f>IFERROR(IF(AI$58&gt;='CBA Inputs'!$H48,MAX('CBA Inputs'!$E48-'CBA Inputs'!$E48/'CBA Inputs'!$I48*(AI$58-'CBA Inputs'!$H48+1),0),0)*IF(AI$58=FirstYear+AnalysisPeriod-1,1,0),0)*CapitalCost_ACTIVE*AI$55</f>
        <v>0</v>
      </c>
      <c r="AJ124" s="17">
        <f>IFERROR(IF(AJ$58&gt;='CBA Inputs'!$H48,MAX('CBA Inputs'!$E48-'CBA Inputs'!$E48/'CBA Inputs'!$I48*(AJ$58-'CBA Inputs'!$H48+1),0),0)*IF(AJ$58=FirstYear+AnalysisPeriod-1,1,0),0)*CapitalCost_ACTIVE*AJ$55</f>
        <v>0</v>
      </c>
      <c r="AM124" s="9" t="str">
        <f t="shared" si="35"/>
        <v/>
      </c>
      <c r="AN124" s="26">
        <f t="shared" si="35"/>
        <v>0</v>
      </c>
      <c r="AO124" s="26">
        <f t="shared" si="35"/>
        <v>0</v>
      </c>
      <c r="AP124" s="12" t="s">
        <v>35</v>
      </c>
      <c r="AQ124" s="18">
        <f t="shared" si="36"/>
        <v>0</v>
      </c>
      <c r="AR124" s="17">
        <f>IFERROR(IF(G$58&gt;='CBA Inputs'!$R48,MAX('CBA Inputs'!$O48-'CBA Inputs'!$O48/'CBA Inputs'!$S48*(G$58-'CBA Inputs'!$R48+1),0),0)*IF(G$58=FirstYear+AnalysisPeriod-1,1,0),0)*CapitalCost_ACTIVE*G$55*IF(Scenario_Select='CBA Inputs'!$T48,1,0)</f>
        <v>0</v>
      </c>
      <c r="AS124" s="17">
        <f>IFERROR(IF(H$58&gt;='CBA Inputs'!$R48,MAX('CBA Inputs'!$O48-'CBA Inputs'!$O48/'CBA Inputs'!$S48*(H$58-'CBA Inputs'!$R48+1),0),0)*IF(H$58=FirstYear+AnalysisPeriod-1,1,0),0)*CapitalCost_ACTIVE*H$55*IF(Scenario_Select='CBA Inputs'!$T48,1,0)</f>
        <v>0</v>
      </c>
      <c r="AT124" s="17">
        <f>IFERROR(IF(I$58&gt;='CBA Inputs'!$R48,MAX('CBA Inputs'!$O48-'CBA Inputs'!$O48/'CBA Inputs'!$S48*(I$58-'CBA Inputs'!$R48+1),0),0)*IF(I$58=FirstYear+AnalysisPeriod-1,1,0),0)*CapitalCost_ACTIVE*I$55*IF(Scenario_Select='CBA Inputs'!$T48,1,0)</f>
        <v>0</v>
      </c>
      <c r="AU124" s="17">
        <f>IFERROR(IF(J$58&gt;='CBA Inputs'!$R48,MAX('CBA Inputs'!$O48-'CBA Inputs'!$O48/'CBA Inputs'!$S48*(J$58-'CBA Inputs'!$R48+1),0),0)*IF(J$58=FirstYear+AnalysisPeriod-1,1,0),0)*CapitalCost_ACTIVE*J$55*IF(Scenario_Select='CBA Inputs'!$T48,1,0)</f>
        <v>0</v>
      </c>
      <c r="AV124" s="17">
        <f>IFERROR(IF(K$58&gt;='CBA Inputs'!$R48,MAX('CBA Inputs'!$O48-'CBA Inputs'!$O48/'CBA Inputs'!$S48*(K$58-'CBA Inputs'!$R48+1),0),0)*IF(K$58=FirstYear+AnalysisPeriod-1,1,0),0)*CapitalCost_ACTIVE*K$55*IF(Scenario_Select='CBA Inputs'!$T48,1,0)</f>
        <v>0</v>
      </c>
      <c r="AW124" s="17">
        <f>IFERROR(IF(L$58&gt;='CBA Inputs'!$R48,MAX('CBA Inputs'!$O48-'CBA Inputs'!$O48/'CBA Inputs'!$S48*(L$58-'CBA Inputs'!$R48+1),0),0)*IF(L$58=FirstYear+AnalysisPeriod-1,1,0),0)*CapitalCost_ACTIVE*L$55*IF(Scenario_Select='CBA Inputs'!$T48,1,0)</f>
        <v>0</v>
      </c>
      <c r="AX124" s="17">
        <f>IFERROR(IF(M$58&gt;='CBA Inputs'!$R48,MAX('CBA Inputs'!$O48-'CBA Inputs'!$O48/'CBA Inputs'!$S48*(M$58-'CBA Inputs'!$R48+1),0),0)*IF(M$58=FirstYear+AnalysisPeriod-1,1,0),0)*CapitalCost_ACTIVE*M$55*IF(Scenario_Select='CBA Inputs'!$T48,1,0)</f>
        <v>0</v>
      </c>
      <c r="AY124" s="17">
        <f>IFERROR(IF(N$58&gt;='CBA Inputs'!$R48,MAX('CBA Inputs'!$O48-'CBA Inputs'!$O48/'CBA Inputs'!$S48*(N$58-'CBA Inputs'!$R48+1),0),0)*IF(N$58=FirstYear+AnalysisPeriod-1,1,0),0)*CapitalCost_ACTIVE*N$55*IF(Scenario_Select='CBA Inputs'!$T48,1,0)</f>
        <v>0</v>
      </c>
      <c r="AZ124" s="17">
        <f>IFERROR(IF(O$58&gt;='CBA Inputs'!$R48,MAX('CBA Inputs'!$O48-'CBA Inputs'!$O48/'CBA Inputs'!$S48*(O$58-'CBA Inputs'!$R48+1),0),0)*IF(O$58=FirstYear+AnalysisPeriod-1,1,0),0)*CapitalCost_ACTIVE*O$55*IF(Scenario_Select='CBA Inputs'!$T48,1,0)</f>
        <v>0</v>
      </c>
      <c r="BA124" s="17">
        <f>IFERROR(IF(P$58&gt;='CBA Inputs'!$R48,MAX('CBA Inputs'!$O48-'CBA Inputs'!$O48/'CBA Inputs'!$S48*(P$58-'CBA Inputs'!$R48+1),0),0)*IF(P$58=FirstYear+AnalysisPeriod-1,1,0),0)*CapitalCost_ACTIVE*P$55*IF(Scenario_Select='CBA Inputs'!$T48,1,0)</f>
        <v>0</v>
      </c>
      <c r="BB124" s="17">
        <f>IFERROR(IF(Q$58&gt;='CBA Inputs'!$R48,MAX('CBA Inputs'!$O48-'CBA Inputs'!$O48/'CBA Inputs'!$S48*(Q$58-'CBA Inputs'!$R48+1),0),0)*IF(Q$58=FirstYear+AnalysisPeriod-1,1,0),0)*CapitalCost_ACTIVE*Q$55*IF(Scenario_Select='CBA Inputs'!$T48,1,0)</f>
        <v>0</v>
      </c>
      <c r="BC124" s="17">
        <f>IFERROR(IF(R$58&gt;='CBA Inputs'!$R48,MAX('CBA Inputs'!$O48-'CBA Inputs'!$O48/'CBA Inputs'!$S48*(R$58-'CBA Inputs'!$R48+1),0),0)*IF(R$58=FirstYear+AnalysisPeriod-1,1,0),0)*CapitalCost_ACTIVE*R$55*IF(Scenario_Select='CBA Inputs'!$T48,1,0)</f>
        <v>0</v>
      </c>
      <c r="BD124" s="17">
        <f>IFERROR(IF(S$58&gt;='CBA Inputs'!$R48,MAX('CBA Inputs'!$O48-'CBA Inputs'!$O48/'CBA Inputs'!$S48*(S$58-'CBA Inputs'!$R48+1),0),0)*IF(S$58=FirstYear+AnalysisPeriod-1,1,0),0)*CapitalCost_ACTIVE*S$55*IF(Scenario_Select='CBA Inputs'!$T48,1,0)</f>
        <v>0</v>
      </c>
      <c r="BE124" s="17">
        <f>IFERROR(IF(T$58&gt;='CBA Inputs'!$R48,MAX('CBA Inputs'!$O48-'CBA Inputs'!$O48/'CBA Inputs'!$S48*(T$58-'CBA Inputs'!$R48+1),0),0)*IF(T$58=FirstYear+AnalysisPeriod-1,1,0),0)*CapitalCost_ACTIVE*T$55*IF(Scenario_Select='CBA Inputs'!$T48,1,0)</f>
        <v>0</v>
      </c>
      <c r="BF124" s="17">
        <f>IFERROR(IF(U$58&gt;='CBA Inputs'!$R48,MAX('CBA Inputs'!$O48-'CBA Inputs'!$O48/'CBA Inputs'!$S48*(U$58-'CBA Inputs'!$R48+1),0),0)*IF(U$58=FirstYear+AnalysisPeriod-1,1,0),0)*CapitalCost_ACTIVE*U$55*IF(Scenario_Select='CBA Inputs'!$T48,1,0)</f>
        <v>0</v>
      </c>
      <c r="BG124" s="17">
        <f>IFERROR(IF(V$58&gt;='CBA Inputs'!$R48,MAX('CBA Inputs'!$O48-'CBA Inputs'!$O48/'CBA Inputs'!$S48*(V$58-'CBA Inputs'!$R48+1),0),0)*IF(V$58=FirstYear+AnalysisPeriod-1,1,0),0)*CapitalCost_ACTIVE*V$55*IF(Scenario_Select='CBA Inputs'!$T48,1,0)</f>
        <v>0</v>
      </c>
      <c r="BH124" s="17">
        <f>IFERROR(IF(W$58&gt;='CBA Inputs'!$R48,MAX('CBA Inputs'!$O48-'CBA Inputs'!$O48/'CBA Inputs'!$S48*(W$58-'CBA Inputs'!$R48+1),0),0)*IF(W$58=FirstYear+AnalysisPeriod-1,1,0),0)*CapitalCost_ACTIVE*W$55*IF(Scenario_Select='CBA Inputs'!$T48,1,0)</f>
        <v>0</v>
      </c>
      <c r="BI124" s="17">
        <f>IFERROR(IF(X$58&gt;='CBA Inputs'!$R48,MAX('CBA Inputs'!$O48-'CBA Inputs'!$O48/'CBA Inputs'!$S48*(X$58-'CBA Inputs'!$R48+1),0),0)*IF(X$58=FirstYear+AnalysisPeriod-1,1,0),0)*CapitalCost_ACTIVE*X$55*IF(Scenario_Select='CBA Inputs'!$T48,1,0)</f>
        <v>0</v>
      </c>
      <c r="BJ124" s="17">
        <f>IFERROR(IF(Y$58&gt;='CBA Inputs'!$R48,MAX('CBA Inputs'!$O48-'CBA Inputs'!$O48/'CBA Inputs'!$S48*(Y$58-'CBA Inputs'!$R48+1),0),0)*IF(Y$58=FirstYear+AnalysisPeriod-1,1,0),0)*CapitalCost_ACTIVE*Y$55*IF(Scenario_Select='CBA Inputs'!$T48,1,0)</f>
        <v>0</v>
      </c>
      <c r="BK124" s="17">
        <f>IFERROR(IF(Z$58&gt;='CBA Inputs'!$R48,MAX('CBA Inputs'!$O48-'CBA Inputs'!$O48/'CBA Inputs'!$S48*(Z$58-'CBA Inputs'!$R48+1),0),0)*IF(Z$58=FirstYear+AnalysisPeriod-1,1,0),0)*CapitalCost_ACTIVE*Z$55*IF(Scenario_Select='CBA Inputs'!$T48,1,0)</f>
        <v>0</v>
      </c>
      <c r="BL124" s="17">
        <f>IFERROR(IF(AA$58&gt;='CBA Inputs'!$R48,MAX('CBA Inputs'!$O48-'CBA Inputs'!$O48/'CBA Inputs'!$S48*(AA$58-'CBA Inputs'!$R48+1),0),0)*IF(AA$58=FirstYear+AnalysisPeriod-1,1,0),0)*CapitalCost_ACTIVE*AA$55*IF(Scenario_Select='CBA Inputs'!$T48,1,0)</f>
        <v>0</v>
      </c>
      <c r="BM124" s="17">
        <f>IFERROR(IF(AB$58&gt;='CBA Inputs'!$R48,MAX('CBA Inputs'!$O48-'CBA Inputs'!$O48/'CBA Inputs'!$S48*(AB$58-'CBA Inputs'!$R48+1),0),0)*IF(AB$58=FirstYear+AnalysisPeriod-1,1,0),0)*CapitalCost_ACTIVE*AB$55*IF(Scenario_Select='CBA Inputs'!$T48,1,0)</f>
        <v>0</v>
      </c>
      <c r="BN124" s="17">
        <f>IFERROR(IF(AC$58&gt;='CBA Inputs'!$R48,MAX('CBA Inputs'!$O48-'CBA Inputs'!$O48/'CBA Inputs'!$S48*(AC$58-'CBA Inputs'!$R48+1),0),0)*IF(AC$58=FirstYear+AnalysisPeriod-1,1,0),0)*CapitalCost_ACTIVE*AC$55*IF(Scenario_Select='CBA Inputs'!$T48,1,0)</f>
        <v>0</v>
      </c>
      <c r="BO124" s="17">
        <f>IFERROR(IF(AD$58&gt;='CBA Inputs'!$R48,MAX('CBA Inputs'!$O48-'CBA Inputs'!$O48/'CBA Inputs'!$S48*(AD$58-'CBA Inputs'!$R48+1),0),0)*IF(AD$58=FirstYear+AnalysisPeriod-1,1,0),0)*CapitalCost_ACTIVE*AD$55*IF(Scenario_Select='CBA Inputs'!$T48,1,0)</f>
        <v>0</v>
      </c>
      <c r="BP124" s="17">
        <f>IFERROR(IF(AE$58&gt;='CBA Inputs'!$R48,MAX('CBA Inputs'!$O48-'CBA Inputs'!$O48/'CBA Inputs'!$S48*(AE$58-'CBA Inputs'!$R48+1),0),0)*IF(AE$58=FirstYear+AnalysisPeriod-1,1,0),0)*CapitalCost_ACTIVE*AE$55*IF(Scenario_Select='CBA Inputs'!$T48,1,0)</f>
        <v>0</v>
      </c>
      <c r="BQ124" s="17">
        <f>IFERROR(IF(AF$58&gt;='CBA Inputs'!$R48,MAX('CBA Inputs'!$O48-'CBA Inputs'!$O48/'CBA Inputs'!$S48*(AF$58-'CBA Inputs'!$R48+1),0),0)*IF(AF$58=FirstYear+AnalysisPeriod-1,1,0),0)*CapitalCost_ACTIVE*AF$55*IF(Scenario_Select='CBA Inputs'!$T48,1,0)</f>
        <v>0</v>
      </c>
      <c r="BR124" s="17">
        <f>IFERROR(IF(AG$58&gt;='CBA Inputs'!$R48,MAX('CBA Inputs'!$O48-'CBA Inputs'!$O48/'CBA Inputs'!$S48*(AG$58-'CBA Inputs'!$R48+1),0),0)*IF(AG$58=FirstYear+AnalysisPeriod-1,1,0),0)*CapitalCost_ACTIVE*AG$55*IF(Scenario_Select='CBA Inputs'!$T48,1,0)</f>
        <v>0</v>
      </c>
      <c r="BS124" s="17">
        <f>IFERROR(IF(AH$58&gt;='CBA Inputs'!$R48,MAX('CBA Inputs'!$O48-'CBA Inputs'!$O48/'CBA Inputs'!$S48*(AH$58-'CBA Inputs'!$R48+1),0),0)*IF(AH$58=FirstYear+AnalysisPeriod-1,1,0),0)*CapitalCost_ACTIVE*AH$55*IF(Scenario_Select='CBA Inputs'!$T48,1,0)</f>
        <v>0</v>
      </c>
      <c r="BT124" s="17">
        <f>IFERROR(IF(AI$58&gt;='CBA Inputs'!$R48,MAX('CBA Inputs'!$O48-'CBA Inputs'!$O48/'CBA Inputs'!$S48*(AI$58-'CBA Inputs'!$R48+1),0),0)*IF(AI$58=FirstYear+AnalysisPeriod-1,1,0),0)*CapitalCost_ACTIVE*AI$55*IF(Scenario_Select='CBA Inputs'!$T48,1,0)</f>
        <v>0</v>
      </c>
      <c r="BU124" s="17">
        <f>IFERROR(IF(AJ$58&gt;='CBA Inputs'!$R48,MAX('CBA Inputs'!$O48-'CBA Inputs'!$O48/'CBA Inputs'!$S48*(AJ$58-'CBA Inputs'!$R48+1),0),0)*IF(AJ$58=FirstYear+AnalysisPeriod-1,1,0),0)*CapitalCost_ACTIVE*AJ$55*IF(Scenario_Select='CBA Inputs'!$T48,1,0)</f>
        <v>0</v>
      </c>
    </row>
    <row r="125" spans="2:73" x14ac:dyDescent="0.35">
      <c r="B125" s="9">
        <f t="shared" si="30"/>
        <v>12</v>
      </c>
      <c r="C125" s="26" t="str">
        <f t="shared" si="30"/>
        <v>Option 4C</v>
      </c>
      <c r="D125" s="26" t="str">
        <f t="shared" si="33"/>
        <v>Substation</v>
      </c>
      <c r="E125" s="12" t="s">
        <v>35</v>
      </c>
      <c r="F125" s="18">
        <f t="shared" si="34"/>
        <v>18011419.812815018</v>
      </c>
      <c r="G125" s="17">
        <f>IFERROR(IF(G$58&gt;='CBA Inputs'!$H49,MAX('CBA Inputs'!$E49-'CBA Inputs'!$E49/'CBA Inputs'!$I49*(G$58-'CBA Inputs'!$H49+1),0),0)*IF(G$58=FirstYear+AnalysisPeriod-1,1,0),0)*CapitalCost_ACTIVE*G$55</f>
        <v>0</v>
      </c>
      <c r="H125" s="17">
        <f>IFERROR(IF(H$58&gt;='CBA Inputs'!$H49,MAX('CBA Inputs'!$E49-'CBA Inputs'!$E49/'CBA Inputs'!$I49*(H$58-'CBA Inputs'!$H49+1),0),0)*IF(H$58=FirstYear+AnalysisPeriod-1,1,0),0)*CapitalCost_ACTIVE*H$55</f>
        <v>0</v>
      </c>
      <c r="I125" s="17">
        <f>IFERROR(IF(I$58&gt;='CBA Inputs'!$H49,MAX('CBA Inputs'!$E49-'CBA Inputs'!$E49/'CBA Inputs'!$I49*(I$58-'CBA Inputs'!$H49+1),0),0)*IF(I$58=FirstYear+AnalysisPeriod-1,1,0),0)*CapitalCost_ACTIVE*I$55</f>
        <v>0</v>
      </c>
      <c r="J125" s="17">
        <f>IFERROR(IF(J$58&gt;='CBA Inputs'!$H49,MAX('CBA Inputs'!$E49-'CBA Inputs'!$E49/'CBA Inputs'!$I49*(J$58-'CBA Inputs'!$H49+1),0),0)*IF(J$58=FirstYear+AnalysisPeriod-1,1,0),0)*CapitalCost_ACTIVE*J$55</f>
        <v>0</v>
      </c>
      <c r="K125" s="17">
        <f>IFERROR(IF(K$58&gt;='CBA Inputs'!$H49,MAX('CBA Inputs'!$E49-'CBA Inputs'!$E49/'CBA Inputs'!$I49*(K$58-'CBA Inputs'!$H49+1),0),0)*IF(K$58=FirstYear+AnalysisPeriod-1,1,0),0)*CapitalCost_ACTIVE*K$55</f>
        <v>0</v>
      </c>
      <c r="L125" s="17">
        <f>IFERROR(IF(L$58&gt;='CBA Inputs'!$H49,MAX('CBA Inputs'!$E49-'CBA Inputs'!$E49/'CBA Inputs'!$I49*(L$58-'CBA Inputs'!$H49+1),0),0)*IF(L$58=FirstYear+AnalysisPeriod-1,1,0),0)*CapitalCost_ACTIVE*L$55</f>
        <v>0</v>
      </c>
      <c r="M125" s="17">
        <f>IFERROR(IF(M$58&gt;='CBA Inputs'!$H49,MAX('CBA Inputs'!$E49-'CBA Inputs'!$E49/'CBA Inputs'!$I49*(M$58-'CBA Inputs'!$H49+1),0),0)*IF(M$58=FirstYear+AnalysisPeriod-1,1,0),0)*CapitalCost_ACTIVE*M$55</f>
        <v>0</v>
      </c>
      <c r="N125" s="17">
        <f>IFERROR(IF(N$58&gt;='CBA Inputs'!$H49,MAX('CBA Inputs'!$E49-'CBA Inputs'!$E49/'CBA Inputs'!$I49*(N$58-'CBA Inputs'!$H49+1),0),0)*IF(N$58=FirstYear+AnalysisPeriod-1,1,0),0)*CapitalCost_ACTIVE*N$55</f>
        <v>0</v>
      </c>
      <c r="O125" s="17">
        <f>IFERROR(IF(O$58&gt;='CBA Inputs'!$H49,MAX('CBA Inputs'!$E49-'CBA Inputs'!$E49/'CBA Inputs'!$I49*(O$58-'CBA Inputs'!$H49+1),0),0)*IF(O$58=FirstYear+AnalysisPeriod-1,1,0),0)*CapitalCost_ACTIVE*O$55</f>
        <v>0</v>
      </c>
      <c r="P125" s="17">
        <f>IFERROR(IF(P$58&gt;='CBA Inputs'!$H49,MAX('CBA Inputs'!$E49-'CBA Inputs'!$E49/'CBA Inputs'!$I49*(P$58-'CBA Inputs'!$H49+1),0),0)*IF(P$58=FirstYear+AnalysisPeriod-1,1,0),0)*CapitalCost_ACTIVE*P$55</f>
        <v>0</v>
      </c>
      <c r="Q125" s="17">
        <f>IFERROR(IF(Q$58&gt;='CBA Inputs'!$H49,MAX('CBA Inputs'!$E49-'CBA Inputs'!$E49/'CBA Inputs'!$I49*(Q$58-'CBA Inputs'!$H49+1),0),0)*IF(Q$58=FirstYear+AnalysisPeriod-1,1,0),0)*CapitalCost_ACTIVE*Q$55</f>
        <v>0</v>
      </c>
      <c r="R125" s="17">
        <f>IFERROR(IF(R$58&gt;='CBA Inputs'!$H49,MAX('CBA Inputs'!$E49-'CBA Inputs'!$E49/'CBA Inputs'!$I49*(R$58-'CBA Inputs'!$H49+1),0),0)*IF(R$58=FirstYear+AnalysisPeriod-1,1,0),0)*CapitalCost_ACTIVE*R$55</f>
        <v>0</v>
      </c>
      <c r="S125" s="17">
        <f>IFERROR(IF(S$58&gt;='CBA Inputs'!$H49,MAX('CBA Inputs'!$E49-'CBA Inputs'!$E49/'CBA Inputs'!$I49*(S$58-'CBA Inputs'!$H49+1),0),0)*IF(S$58=FirstYear+AnalysisPeriod-1,1,0),0)*CapitalCost_ACTIVE*S$55</f>
        <v>0</v>
      </c>
      <c r="T125" s="17">
        <f>IFERROR(IF(T$58&gt;='CBA Inputs'!$H49,MAX('CBA Inputs'!$E49-'CBA Inputs'!$E49/'CBA Inputs'!$I49*(T$58-'CBA Inputs'!$H49+1),0),0)*IF(T$58=FirstYear+AnalysisPeriod-1,1,0),0)*CapitalCost_ACTIVE*T$55</f>
        <v>0</v>
      </c>
      <c r="U125" s="17">
        <f>IFERROR(IF(U$58&gt;='CBA Inputs'!$H49,MAX('CBA Inputs'!$E49-'CBA Inputs'!$E49/'CBA Inputs'!$I49*(U$58-'CBA Inputs'!$H49+1),0),0)*IF(U$58=FirstYear+AnalysisPeriod-1,1,0),0)*CapitalCost_ACTIVE*U$55</f>
        <v>0</v>
      </c>
      <c r="V125" s="17">
        <f>IFERROR(IF(V$58&gt;='CBA Inputs'!$H49,MAX('CBA Inputs'!$E49-'CBA Inputs'!$E49/'CBA Inputs'!$I49*(V$58-'CBA Inputs'!$H49+1),0),0)*IF(V$58=FirstYear+AnalysisPeriod-1,1,0),0)*CapitalCost_ACTIVE*V$55</f>
        <v>0</v>
      </c>
      <c r="W125" s="17">
        <f>IFERROR(IF(W$58&gt;='CBA Inputs'!$H49,MAX('CBA Inputs'!$E49-'CBA Inputs'!$E49/'CBA Inputs'!$I49*(W$58-'CBA Inputs'!$H49+1),0),0)*IF(W$58=FirstYear+AnalysisPeriod-1,1,0),0)*CapitalCost_ACTIVE*W$55</f>
        <v>0</v>
      </c>
      <c r="X125" s="17">
        <f>IFERROR(IF(X$58&gt;='CBA Inputs'!$H49,MAX('CBA Inputs'!$E49-'CBA Inputs'!$E49/'CBA Inputs'!$I49*(X$58-'CBA Inputs'!$H49+1),0),0)*IF(X$58=FirstYear+AnalysisPeriod-1,1,0),0)*CapitalCost_ACTIVE*X$55</f>
        <v>0</v>
      </c>
      <c r="Y125" s="17">
        <f>IFERROR(IF(Y$58&gt;='CBA Inputs'!$H49,MAX('CBA Inputs'!$E49-'CBA Inputs'!$E49/'CBA Inputs'!$I49*(Y$58-'CBA Inputs'!$H49+1),0),0)*IF(Y$58=FirstYear+AnalysisPeriod-1,1,0),0)*CapitalCost_ACTIVE*Y$55</f>
        <v>0</v>
      </c>
      <c r="Z125" s="17">
        <f>IFERROR(IF(Z$58&gt;='CBA Inputs'!$H49,MAX('CBA Inputs'!$E49-'CBA Inputs'!$E49/'CBA Inputs'!$I49*(Z$58-'CBA Inputs'!$H49+1),0),0)*IF(Z$58=FirstYear+AnalysisPeriod-1,1,0),0)*CapitalCost_ACTIVE*Z$55</f>
        <v>0</v>
      </c>
      <c r="AA125" s="17">
        <f>IFERROR(IF(AA$58&gt;='CBA Inputs'!$H49,MAX('CBA Inputs'!$E49-'CBA Inputs'!$E49/'CBA Inputs'!$I49*(AA$58-'CBA Inputs'!$H49+1),0),0)*IF(AA$58=FirstYear+AnalysisPeriod-1,1,0),0)*CapitalCost_ACTIVE*AA$55</f>
        <v>0</v>
      </c>
      <c r="AB125" s="17">
        <f>IFERROR(IF(AB$58&gt;='CBA Inputs'!$H49,MAX('CBA Inputs'!$E49-'CBA Inputs'!$E49/'CBA Inputs'!$I49*(AB$58-'CBA Inputs'!$H49+1),0),0)*IF(AB$58=FirstYear+AnalysisPeriod-1,1,0),0)*CapitalCost_ACTIVE*AB$55</f>
        <v>0</v>
      </c>
      <c r="AC125" s="17">
        <f>IFERROR(IF(AC$58&gt;='CBA Inputs'!$H49,MAX('CBA Inputs'!$E49-'CBA Inputs'!$E49/'CBA Inputs'!$I49*(AC$58-'CBA Inputs'!$H49+1),0),0)*IF(AC$58=FirstYear+AnalysisPeriod-1,1,0),0)*CapitalCost_ACTIVE*AC$55</f>
        <v>0</v>
      </c>
      <c r="AD125" s="17">
        <f>IFERROR(IF(AD$58&gt;='CBA Inputs'!$H49,MAX('CBA Inputs'!$E49-'CBA Inputs'!$E49/'CBA Inputs'!$I49*(AD$58-'CBA Inputs'!$H49+1),0),0)*IF(AD$58=FirstYear+AnalysisPeriod-1,1,0),0)*CapitalCost_ACTIVE*AD$55</f>
        <v>0</v>
      </c>
      <c r="AE125" s="17">
        <f>IFERROR(IF(AE$58&gt;='CBA Inputs'!$H49,MAX('CBA Inputs'!$E49-'CBA Inputs'!$E49/'CBA Inputs'!$I49*(AE$58-'CBA Inputs'!$H49+1),0),0)*IF(AE$58=FirstYear+AnalysisPeriod-1,1,0),0)*CapitalCost_ACTIVE*AE$55</f>
        <v>0</v>
      </c>
      <c r="AF125" s="17">
        <f>IFERROR(IF(AF$58&gt;='CBA Inputs'!$H49,MAX('CBA Inputs'!$E49-'CBA Inputs'!$E49/'CBA Inputs'!$I49*(AF$58-'CBA Inputs'!$H49+1),0),0)*IF(AF$58=FirstYear+AnalysisPeriod-1,1,0),0)*CapitalCost_ACTIVE*AF$55</f>
        <v>75500000</v>
      </c>
      <c r="AG125" s="17">
        <f>IFERROR(IF(AG$58&gt;='CBA Inputs'!$H49,MAX('CBA Inputs'!$E49-'CBA Inputs'!$E49/'CBA Inputs'!$I49*(AG$58-'CBA Inputs'!$H49+1),0),0)*IF(AG$58=FirstYear+AnalysisPeriod-1,1,0),0)*CapitalCost_ACTIVE*AG$55</f>
        <v>0</v>
      </c>
      <c r="AH125" s="17">
        <f>IFERROR(IF(AH$58&gt;='CBA Inputs'!$H49,MAX('CBA Inputs'!$E49-'CBA Inputs'!$E49/'CBA Inputs'!$I49*(AH$58-'CBA Inputs'!$H49+1),0),0)*IF(AH$58=FirstYear+AnalysisPeriod-1,1,0),0)*CapitalCost_ACTIVE*AH$55</f>
        <v>0</v>
      </c>
      <c r="AI125" s="17">
        <f>IFERROR(IF(AI$58&gt;='CBA Inputs'!$H49,MAX('CBA Inputs'!$E49-'CBA Inputs'!$E49/'CBA Inputs'!$I49*(AI$58-'CBA Inputs'!$H49+1),0),0)*IF(AI$58=FirstYear+AnalysisPeriod-1,1,0),0)*CapitalCost_ACTIVE*AI$55</f>
        <v>0</v>
      </c>
      <c r="AJ125" s="17">
        <f>IFERROR(IF(AJ$58&gt;='CBA Inputs'!$H49,MAX('CBA Inputs'!$E49-'CBA Inputs'!$E49/'CBA Inputs'!$I49*(AJ$58-'CBA Inputs'!$H49+1),0),0)*IF(AJ$58=FirstYear+AnalysisPeriod-1,1,0),0)*CapitalCost_ACTIVE*AJ$55</f>
        <v>0</v>
      </c>
      <c r="AM125" s="9" t="str">
        <f t="shared" si="35"/>
        <v/>
      </c>
      <c r="AN125" s="26">
        <f t="shared" si="35"/>
        <v>0</v>
      </c>
      <c r="AO125" s="26">
        <f t="shared" si="35"/>
        <v>0</v>
      </c>
      <c r="AP125" s="12" t="s">
        <v>35</v>
      </c>
      <c r="AQ125" s="18">
        <f t="shared" si="36"/>
        <v>0</v>
      </c>
      <c r="AR125" s="17">
        <f>IFERROR(IF(G$58&gt;='CBA Inputs'!$R49,MAX('CBA Inputs'!$O49-'CBA Inputs'!$O49/'CBA Inputs'!$S49*(G$58-'CBA Inputs'!$R49+1),0),0)*IF(G$58=FirstYear+AnalysisPeriod-1,1,0),0)*CapitalCost_ACTIVE*G$55*IF(Scenario_Select='CBA Inputs'!$T49,1,0)</f>
        <v>0</v>
      </c>
      <c r="AS125" s="17">
        <f>IFERROR(IF(H$58&gt;='CBA Inputs'!$R49,MAX('CBA Inputs'!$O49-'CBA Inputs'!$O49/'CBA Inputs'!$S49*(H$58-'CBA Inputs'!$R49+1),0),0)*IF(H$58=FirstYear+AnalysisPeriod-1,1,0),0)*CapitalCost_ACTIVE*H$55*IF(Scenario_Select='CBA Inputs'!$T49,1,0)</f>
        <v>0</v>
      </c>
      <c r="AT125" s="17">
        <f>IFERROR(IF(I$58&gt;='CBA Inputs'!$R49,MAX('CBA Inputs'!$O49-'CBA Inputs'!$O49/'CBA Inputs'!$S49*(I$58-'CBA Inputs'!$R49+1),0),0)*IF(I$58=FirstYear+AnalysisPeriod-1,1,0),0)*CapitalCost_ACTIVE*I$55*IF(Scenario_Select='CBA Inputs'!$T49,1,0)</f>
        <v>0</v>
      </c>
      <c r="AU125" s="17">
        <f>IFERROR(IF(J$58&gt;='CBA Inputs'!$R49,MAX('CBA Inputs'!$O49-'CBA Inputs'!$O49/'CBA Inputs'!$S49*(J$58-'CBA Inputs'!$R49+1),0),0)*IF(J$58=FirstYear+AnalysisPeriod-1,1,0),0)*CapitalCost_ACTIVE*J$55*IF(Scenario_Select='CBA Inputs'!$T49,1,0)</f>
        <v>0</v>
      </c>
      <c r="AV125" s="17">
        <f>IFERROR(IF(K$58&gt;='CBA Inputs'!$R49,MAX('CBA Inputs'!$O49-'CBA Inputs'!$O49/'CBA Inputs'!$S49*(K$58-'CBA Inputs'!$R49+1),0),0)*IF(K$58=FirstYear+AnalysisPeriod-1,1,0),0)*CapitalCost_ACTIVE*K$55*IF(Scenario_Select='CBA Inputs'!$T49,1,0)</f>
        <v>0</v>
      </c>
      <c r="AW125" s="17">
        <f>IFERROR(IF(L$58&gt;='CBA Inputs'!$R49,MAX('CBA Inputs'!$O49-'CBA Inputs'!$O49/'CBA Inputs'!$S49*(L$58-'CBA Inputs'!$R49+1),0),0)*IF(L$58=FirstYear+AnalysisPeriod-1,1,0),0)*CapitalCost_ACTIVE*L$55*IF(Scenario_Select='CBA Inputs'!$T49,1,0)</f>
        <v>0</v>
      </c>
      <c r="AX125" s="17">
        <f>IFERROR(IF(M$58&gt;='CBA Inputs'!$R49,MAX('CBA Inputs'!$O49-'CBA Inputs'!$O49/'CBA Inputs'!$S49*(M$58-'CBA Inputs'!$R49+1),0),0)*IF(M$58=FirstYear+AnalysisPeriod-1,1,0),0)*CapitalCost_ACTIVE*M$55*IF(Scenario_Select='CBA Inputs'!$T49,1,0)</f>
        <v>0</v>
      </c>
      <c r="AY125" s="17">
        <f>IFERROR(IF(N$58&gt;='CBA Inputs'!$R49,MAX('CBA Inputs'!$O49-'CBA Inputs'!$O49/'CBA Inputs'!$S49*(N$58-'CBA Inputs'!$R49+1),0),0)*IF(N$58=FirstYear+AnalysisPeriod-1,1,0),0)*CapitalCost_ACTIVE*N$55*IF(Scenario_Select='CBA Inputs'!$T49,1,0)</f>
        <v>0</v>
      </c>
      <c r="AZ125" s="17">
        <f>IFERROR(IF(O$58&gt;='CBA Inputs'!$R49,MAX('CBA Inputs'!$O49-'CBA Inputs'!$O49/'CBA Inputs'!$S49*(O$58-'CBA Inputs'!$R49+1),0),0)*IF(O$58=FirstYear+AnalysisPeriod-1,1,0),0)*CapitalCost_ACTIVE*O$55*IF(Scenario_Select='CBA Inputs'!$T49,1,0)</f>
        <v>0</v>
      </c>
      <c r="BA125" s="17">
        <f>IFERROR(IF(P$58&gt;='CBA Inputs'!$R49,MAX('CBA Inputs'!$O49-'CBA Inputs'!$O49/'CBA Inputs'!$S49*(P$58-'CBA Inputs'!$R49+1),0),0)*IF(P$58=FirstYear+AnalysisPeriod-1,1,0),0)*CapitalCost_ACTIVE*P$55*IF(Scenario_Select='CBA Inputs'!$T49,1,0)</f>
        <v>0</v>
      </c>
      <c r="BB125" s="17">
        <f>IFERROR(IF(Q$58&gt;='CBA Inputs'!$R49,MAX('CBA Inputs'!$O49-'CBA Inputs'!$O49/'CBA Inputs'!$S49*(Q$58-'CBA Inputs'!$R49+1),0),0)*IF(Q$58=FirstYear+AnalysisPeriod-1,1,0),0)*CapitalCost_ACTIVE*Q$55*IF(Scenario_Select='CBA Inputs'!$T49,1,0)</f>
        <v>0</v>
      </c>
      <c r="BC125" s="17">
        <f>IFERROR(IF(R$58&gt;='CBA Inputs'!$R49,MAX('CBA Inputs'!$O49-'CBA Inputs'!$O49/'CBA Inputs'!$S49*(R$58-'CBA Inputs'!$R49+1),0),0)*IF(R$58=FirstYear+AnalysisPeriod-1,1,0),0)*CapitalCost_ACTIVE*R$55*IF(Scenario_Select='CBA Inputs'!$T49,1,0)</f>
        <v>0</v>
      </c>
      <c r="BD125" s="17">
        <f>IFERROR(IF(S$58&gt;='CBA Inputs'!$R49,MAX('CBA Inputs'!$O49-'CBA Inputs'!$O49/'CBA Inputs'!$S49*(S$58-'CBA Inputs'!$R49+1),0),0)*IF(S$58=FirstYear+AnalysisPeriod-1,1,0),0)*CapitalCost_ACTIVE*S$55*IF(Scenario_Select='CBA Inputs'!$T49,1,0)</f>
        <v>0</v>
      </c>
      <c r="BE125" s="17">
        <f>IFERROR(IF(T$58&gt;='CBA Inputs'!$R49,MAX('CBA Inputs'!$O49-'CBA Inputs'!$O49/'CBA Inputs'!$S49*(T$58-'CBA Inputs'!$R49+1),0),0)*IF(T$58=FirstYear+AnalysisPeriod-1,1,0),0)*CapitalCost_ACTIVE*T$55*IF(Scenario_Select='CBA Inputs'!$T49,1,0)</f>
        <v>0</v>
      </c>
      <c r="BF125" s="17">
        <f>IFERROR(IF(U$58&gt;='CBA Inputs'!$R49,MAX('CBA Inputs'!$O49-'CBA Inputs'!$O49/'CBA Inputs'!$S49*(U$58-'CBA Inputs'!$R49+1),0),0)*IF(U$58=FirstYear+AnalysisPeriod-1,1,0),0)*CapitalCost_ACTIVE*U$55*IF(Scenario_Select='CBA Inputs'!$T49,1,0)</f>
        <v>0</v>
      </c>
      <c r="BG125" s="17">
        <f>IFERROR(IF(V$58&gt;='CBA Inputs'!$R49,MAX('CBA Inputs'!$O49-'CBA Inputs'!$O49/'CBA Inputs'!$S49*(V$58-'CBA Inputs'!$R49+1),0),0)*IF(V$58=FirstYear+AnalysisPeriod-1,1,0),0)*CapitalCost_ACTIVE*V$55*IF(Scenario_Select='CBA Inputs'!$T49,1,0)</f>
        <v>0</v>
      </c>
      <c r="BH125" s="17">
        <f>IFERROR(IF(W$58&gt;='CBA Inputs'!$R49,MAX('CBA Inputs'!$O49-'CBA Inputs'!$O49/'CBA Inputs'!$S49*(W$58-'CBA Inputs'!$R49+1),0),0)*IF(W$58=FirstYear+AnalysisPeriod-1,1,0),0)*CapitalCost_ACTIVE*W$55*IF(Scenario_Select='CBA Inputs'!$T49,1,0)</f>
        <v>0</v>
      </c>
      <c r="BI125" s="17">
        <f>IFERROR(IF(X$58&gt;='CBA Inputs'!$R49,MAX('CBA Inputs'!$O49-'CBA Inputs'!$O49/'CBA Inputs'!$S49*(X$58-'CBA Inputs'!$R49+1),0),0)*IF(X$58=FirstYear+AnalysisPeriod-1,1,0),0)*CapitalCost_ACTIVE*X$55*IF(Scenario_Select='CBA Inputs'!$T49,1,0)</f>
        <v>0</v>
      </c>
      <c r="BJ125" s="17">
        <f>IFERROR(IF(Y$58&gt;='CBA Inputs'!$R49,MAX('CBA Inputs'!$O49-'CBA Inputs'!$O49/'CBA Inputs'!$S49*(Y$58-'CBA Inputs'!$R49+1),0),0)*IF(Y$58=FirstYear+AnalysisPeriod-1,1,0),0)*CapitalCost_ACTIVE*Y$55*IF(Scenario_Select='CBA Inputs'!$T49,1,0)</f>
        <v>0</v>
      </c>
      <c r="BK125" s="17">
        <f>IFERROR(IF(Z$58&gt;='CBA Inputs'!$R49,MAX('CBA Inputs'!$O49-'CBA Inputs'!$O49/'CBA Inputs'!$S49*(Z$58-'CBA Inputs'!$R49+1),0),0)*IF(Z$58=FirstYear+AnalysisPeriod-1,1,0),0)*CapitalCost_ACTIVE*Z$55*IF(Scenario_Select='CBA Inputs'!$T49,1,0)</f>
        <v>0</v>
      </c>
      <c r="BL125" s="17">
        <f>IFERROR(IF(AA$58&gt;='CBA Inputs'!$R49,MAX('CBA Inputs'!$O49-'CBA Inputs'!$O49/'CBA Inputs'!$S49*(AA$58-'CBA Inputs'!$R49+1),0),0)*IF(AA$58=FirstYear+AnalysisPeriod-1,1,0),0)*CapitalCost_ACTIVE*AA$55*IF(Scenario_Select='CBA Inputs'!$T49,1,0)</f>
        <v>0</v>
      </c>
      <c r="BM125" s="17">
        <f>IFERROR(IF(AB$58&gt;='CBA Inputs'!$R49,MAX('CBA Inputs'!$O49-'CBA Inputs'!$O49/'CBA Inputs'!$S49*(AB$58-'CBA Inputs'!$R49+1),0),0)*IF(AB$58=FirstYear+AnalysisPeriod-1,1,0),0)*CapitalCost_ACTIVE*AB$55*IF(Scenario_Select='CBA Inputs'!$T49,1,0)</f>
        <v>0</v>
      </c>
      <c r="BN125" s="17">
        <f>IFERROR(IF(AC$58&gt;='CBA Inputs'!$R49,MAX('CBA Inputs'!$O49-'CBA Inputs'!$O49/'CBA Inputs'!$S49*(AC$58-'CBA Inputs'!$R49+1),0),0)*IF(AC$58=FirstYear+AnalysisPeriod-1,1,0),0)*CapitalCost_ACTIVE*AC$55*IF(Scenario_Select='CBA Inputs'!$T49,1,0)</f>
        <v>0</v>
      </c>
      <c r="BO125" s="17">
        <f>IFERROR(IF(AD$58&gt;='CBA Inputs'!$R49,MAX('CBA Inputs'!$O49-'CBA Inputs'!$O49/'CBA Inputs'!$S49*(AD$58-'CBA Inputs'!$R49+1),0),0)*IF(AD$58=FirstYear+AnalysisPeriod-1,1,0),0)*CapitalCost_ACTIVE*AD$55*IF(Scenario_Select='CBA Inputs'!$T49,1,0)</f>
        <v>0</v>
      </c>
      <c r="BP125" s="17">
        <f>IFERROR(IF(AE$58&gt;='CBA Inputs'!$R49,MAX('CBA Inputs'!$O49-'CBA Inputs'!$O49/'CBA Inputs'!$S49*(AE$58-'CBA Inputs'!$R49+1),0),0)*IF(AE$58=FirstYear+AnalysisPeriod-1,1,0),0)*CapitalCost_ACTIVE*AE$55*IF(Scenario_Select='CBA Inputs'!$T49,1,0)</f>
        <v>0</v>
      </c>
      <c r="BQ125" s="17">
        <f>IFERROR(IF(AF$58&gt;='CBA Inputs'!$R49,MAX('CBA Inputs'!$O49-'CBA Inputs'!$O49/'CBA Inputs'!$S49*(AF$58-'CBA Inputs'!$R49+1),0),0)*IF(AF$58=FirstYear+AnalysisPeriod-1,1,0),0)*CapitalCost_ACTIVE*AF$55*IF(Scenario_Select='CBA Inputs'!$T49,1,0)</f>
        <v>0</v>
      </c>
      <c r="BR125" s="17">
        <f>IFERROR(IF(AG$58&gt;='CBA Inputs'!$R49,MAX('CBA Inputs'!$O49-'CBA Inputs'!$O49/'CBA Inputs'!$S49*(AG$58-'CBA Inputs'!$R49+1),0),0)*IF(AG$58=FirstYear+AnalysisPeriod-1,1,0),0)*CapitalCost_ACTIVE*AG$55*IF(Scenario_Select='CBA Inputs'!$T49,1,0)</f>
        <v>0</v>
      </c>
      <c r="BS125" s="17">
        <f>IFERROR(IF(AH$58&gt;='CBA Inputs'!$R49,MAX('CBA Inputs'!$O49-'CBA Inputs'!$O49/'CBA Inputs'!$S49*(AH$58-'CBA Inputs'!$R49+1),0),0)*IF(AH$58=FirstYear+AnalysisPeriod-1,1,0),0)*CapitalCost_ACTIVE*AH$55*IF(Scenario_Select='CBA Inputs'!$T49,1,0)</f>
        <v>0</v>
      </c>
      <c r="BT125" s="17">
        <f>IFERROR(IF(AI$58&gt;='CBA Inputs'!$R49,MAX('CBA Inputs'!$O49-'CBA Inputs'!$O49/'CBA Inputs'!$S49*(AI$58-'CBA Inputs'!$R49+1),0),0)*IF(AI$58=FirstYear+AnalysisPeriod-1,1,0),0)*CapitalCost_ACTIVE*AI$55*IF(Scenario_Select='CBA Inputs'!$T49,1,0)</f>
        <v>0</v>
      </c>
      <c r="BU125" s="17">
        <f>IFERROR(IF(AJ$58&gt;='CBA Inputs'!$R49,MAX('CBA Inputs'!$O49-'CBA Inputs'!$O49/'CBA Inputs'!$S49*(AJ$58-'CBA Inputs'!$R49+1),0),0)*IF(AJ$58=FirstYear+AnalysisPeriod-1,1,0),0)*CapitalCost_ACTIVE*AJ$55*IF(Scenario_Select='CBA Inputs'!$T49,1,0)</f>
        <v>0</v>
      </c>
    </row>
    <row r="126" spans="2:73" x14ac:dyDescent="0.35">
      <c r="AN126" s="29"/>
      <c r="AO126" s="29"/>
    </row>
    <row r="127" spans="2:73" x14ac:dyDescent="0.35">
      <c r="B127" s="5" t="s">
        <v>17</v>
      </c>
      <c r="C127" s="28"/>
      <c r="D127" s="28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73" x14ac:dyDescent="0.35">
      <c r="B128" s="7" t="s">
        <v>14</v>
      </c>
      <c r="C128" s="10" t="s">
        <v>13</v>
      </c>
      <c r="D128" s="10"/>
      <c r="E128" s="8" t="str">
        <f t="shared" ref="E128" si="37">E$7</f>
        <v>Units</v>
      </c>
      <c r="F128" s="8" t="s">
        <v>37</v>
      </c>
      <c r="G128" s="13" t="str">
        <f>G$56</f>
        <v>FY 2019-20</v>
      </c>
      <c r="H128" s="13" t="str">
        <f t="shared" ref="H128:AJ128" si="38">H$56</f>
        <v>FY 2020-21</v>
      </c>
      <c r="I128" s="13" t="str">
        <f t="shared" si="38"/>
        <v>FY 2021-22</v>
      </c>
      <c r="J128" s="13" t="str">
        <f t="shared" si="38"/>
        <v>FY 2022-23</v>
      </c>
      <c r="K128" s="13" t="str">
        <f t="shared" si="38"/>
        <v>FY 2023-24</v>
      </c>
      <c r="L128" s="13" t="str">
        <f t="shared" si="38"/>
        <v>FY 2024-25</v>
      </c>
      <c r="M128" s="13" t="str">
        <f t="shared" si="38"/>
        <v>FY 2025-26</v>
      </c>
      <c r="N128" s="13" t="str">
        <f t="shared" si="38"/>
        <v>FY 2026-27</v>
      </c>
      <c r="O128" s="13" t="str">
        <f t="shared" si="38"/>
        <v>FY 2027-28</v>
      </c>
      <c r="P128" s="13" t="str">
        <f t="shared" si="38"/>
        <v>FY 2028-29</v>
      </c>
      <c r="Q128" s="13" t="str">
        <f t="shared" si="38"/>
        <v>FY 2029-30</v>
      </c>
      <c r="R128" s="13" t="str">
        <f t="shared" si="38"/>
        <v>FY 2030-31</v>
      </c>
      <c r="S128" s="13" t="str">
        <f t="shared" si="38"/>
        <v>FY 2031-32</v>
      </c>
      <c r="T128" s="13" t="str">
        <f t="shared" si="38"/>
        <v>FY 2032-33</v>
      </c>
      <c r="U128" s="13" t="str">
        <f t="shared" si="38"/>
        <v>FY 2033-34</v>
      </c>
      <c r="V128" s="13" t="str">
        <f t="shared" si="38"/>
        <v>FY 2034-35</v>
      </c>
      <c r="W128" s="13" t="str">
        <f t="shared" si="38"/>
        <v>FY 2035-36</v>
      </c>
      <c r="X128" s="13" t="str">
        <f t="shared" si="38"/>
        <v>FY 2036-37</v>
      </c>
      <c r="Y128" s="13" t="str">
        <f t="shared" si="38"/>
        <v>FY 2037-38</v>
      </c>
      <c r="Z128" s="13" t="str">
        <f t="shared" si="38"/>
        <v>FY 2038-39</v>
      </c>
      <c r="AA128" s="13" t="str">
        <f t="shared" si="38"/>
        <v>FY 2039-40</v>
      </c>
      <c r="AB128" s="13" t="str">
        <f t="shared" si="38"/>
        <v>FY 2040-41</v>
      </c>
      <c r="AC128" s="13" t="str">
        <f t="shared" si="38"/>
        <v>FY 2041-42</v>
      </c>
      <c r="AD128" s="13" t="str">
        <f t="shared" si="38"/>
        <v>FY 2042-43</v>
      </c>
      <c r="AE128" s="13" t="str">
        <f t="shared" si="38"/>
        <v>FY 2043-44</v>
      </c>
      <c r="AF128" s="13" t="str">
        <f t="shared" si="38"/>
        <v>FY 2044-45</v>
      </c>
      <c r="AG128" s="13" t="str">
        <f t="shared" si="38"/>
        <v>FY 2045-46</v>
      </c>
      <c r="AH128" s="13" t="str">
        <f t="shared" si="38"/>
        <v>FY 2046-47</v>
      </c>
      <c r="AI128" s="13" t="str">
        <f t="shared" si="38"/>
        <v>FY 2047-48</v>
      </c>
      <c r="AJ128" s="13" t="str">
        <f t="shared" si="38"/>
        <v>FY 2048-49</v>
      </c>
    </row>
    <row r="129" spans="2:36" x14ac:dyDescent="0.35">
      <c r="B129" s="9">
        <f>+'Option inputs'!$B$15</f>
        <v>1</v>
      </c>
      <c r="C129" s="14" t="str">
        <f>+'Option inputs'!$C$15</f>
        <v>Option 1A</v>
      </c>
      <c r="D129" s="26"/>
      <c r="E129" s="12" t="s">
        <v>35</v>
      </c>
      <c r="F129" s="18">
        <f t="shared" ref="F129:F140" si="39">NPV(DiscountRate_ACTIVE,G129:AJ129)/(1+DiscountRate_ACTIVE)^(FirstYear-BaseYear-1)</f>
        <v>-583074285.75448072</v>
      </c>
      <c r="G129" s="17">
        <f>SUMIF($C$61:$C$125,$C129,G$61:G$125)-SUMIF($C$61:$C$125,'Option inputs'!$C$14,G$61:G$125)*'Option inputs'!$F15*G$55+SUMIF($AN$61:$AN$125,$C129,AR$61:AR$125)-SUMIF($AN$61:$AN$125,'Option inputs'!$C$14,AR$61:AR$125)*'Option inputs'!$F15*G$55</f>
        <v>0</v>
      </c>
      <c r="H129" s="17">
        <f>SUMIF($C$61:$C$125,$C129,H$61:H$125)-SUMIF($C$61:$C$125,'Option inputs'!$C$14,H$61:H$125)*'Option inputs'!$F15*H$55+SUMIF($AN$61:$AN$125,$C129,AS$61:AS$125)-SUMIF($AN$61:$AN$125,'Option inputs'!$C$14,AS$61:AS$125)*'Option inputs'!$F15*H$55</f>
        <v>-198750000</v>
      </c>
      <c r="I129" s="17">
        <f>SUMIF($C$61:$C$125,$C129,I$61:I$125)-SUMIF($C$61:$C$125,'Option inputs'!$C$14,I$61:I$125)*'Option inputs'!$F15*I$55+SUMIF($AN$61:$AN$125,$C129,AT$61:AT$125)-SUMIF($AN$61:$AN$125,'Option inputs'!$C$14,AT$61:AT$125)*'Option inputs'!$F15*I$55</f>
        <v>-198750000</v>
      </c>
      <c r="J129" s="17">
        <f>SUMIF($C$61:$C$125,$C129,J$61:J$125)-SUMIF($C$61:$C$125,'Option inputs'!$C$14,J$61:J$125)*'Option inputs'!$F15*J$55+SUMIF($AN$61:$AN$125,$C129,AU$61:AU$125)-SUMIF($AN$61:$AN$125,'Option inputs'!$C$14,AU$61:AU$125)*'Option inputs'!$F15*J$55</f>
        <v>-198750000</v>
      </c>
      <c r="K129" s="17">
        <f>SUMIF($C$61:$C$125,$C129,K$61:K$125)-SUMIF($C$61:$C$125,'Option inputs'!$C$14,K$61:K$125)*'Option inputs'!$F15*K$55+SUMIF($AN$61:$AN$125,$C129,AV$61:AV$125)-SUMIF($AN$61:$AN$125,'Option inputs'!$C$14,AV$61:AV$125)*'Option inputs'!$F15*K$55</f>
        <v>-198750000</v>
      </c>
      <c r="L129" s="17">
        <f>SUMIF($C$61:$C$125,$C129,L$61:L$125)-SUMIF($C$61:$C$125,'Option inputs'!$C$14,L$61:L$125)*'Option inputs'!$F15*L$55+SUMIF($AN$61:$AN$125,$C129,AW$61:AW$125)-SUMIF($AN$61:$AN$125,'Option inputs'!$C$14,AW$61:AW$125)*'Option inputs'!$F15*L$55</f>
        <v>0</v>
      </c>
      <c r="M129" s="17">
        <f>SUMIF($C$61:$C$125,$C129,M$61:M$125)-SUMIF($C$61:$C$125,'Option inputs'!$C$14,M$61:M$125)*'Option inputs'!$F15*M$55+SUMIF($AN$61:$AN$125,$C129,AX$61:AX$125)-SUMIF($AN$61:$AN$125,'Option inputs'!$C$14,AX$61:AX$125)*'Option inputs'!$F15*M$55</f>
        <v>0</v>
      </c>
      <c r="N129" s="17">
        <f>SUMIF($C$61:$C$125,$C129,N$61:N$125)-SUMIF($C$61:$C$125,'Option inputs'!$C$14,N$61:N$125)*'Option inputs'!$F15*N$55+SUMIF($AN$61:$AN$125,$C129,AY$61:AY$125)-SUMIF($AN$61:$AN$125,'Option inputs'!$C$14,AY$61:AY$125)*'Option inputs'!$F15*N$55</f>
        <v>0</v>
      </c>
      <c r="O129" s="17">
        <f>SUMIF($C$61:$C$125,$C129,O$61:O$125)-SUMIF($C$61:$C$125,'Option inputs'!$C$14,O$61:O$125)*'Option inputs'!$F15*O$55+SUMIF($AN$61:$AN$125,$C129,AZ$61:AZ$125)-SUMIF($AN$61:$AN$125,'Option inputs'!$C$14,AZ$61:AZ$125)*'Option inputs'!$F15*O$55</f>
        <v>0</v>
      </c>
      <c r="P129" s="17">
        <f>SUMIF($C$61:$C$125,$C129,P$61:P$125)-SUMIF($C$61:$C$125,'Option inputs'!$C$14,P$61:P$125)*'Option inputs'!$F15*P$55+SUMIF($AN$61:$AN$125,$C129,BA$61:BA$125)-SUMIF($AN$61:$AN$125,'Option inputs'!$C$14,BA$61:BA$125)*'Option inputs'!$F15*P$55</f>
        <v>0</v>
      </c>
      <c r="Q129" s="17">
        <f>SUMIF($C$61:$C$125,$C129,Q$61:Q$125)-SUMIF($C$61:$C$125,'Option inputs'!$C$14,Q$61:Q$125)*'Option inputs'!$F15*Q$55+SUMIF($AN$61:$AN$125,$C129,BB$61:BB$125)-SUMIF($AN$61:$AN$125,'Option inputs'!$C$14,BB$61:BB$125)*'Option inputs'!$F15*Q$55</f>
        <v>0</v>
      </c>
      <c r="R129" s="17">
        <f>SUMIF($C$61:$C$125,$C129,R$61:R$125)-SUMIF($C$61:$C$125,'Option inputs'!$C$14,R$61:R$125)*'Option inputs'!$F15*R$55+SUMIF($AN$61:$AN$125,$C129,BC$61:BC$125)-SUMIF($AN$61:$AN$125,'Option inputs'!$C$14,BC$61:BC$125)*'Option inputs'!$F15*R$55</f>
        <v>0</v>
      </c>
      <c r="S129" s="17">
        <f>SUMIF($C$61:$C$125,$C129,S$61:S$125)-SUMIF($C$61:$C$125,'Option inputs'!$C$14,S$61:S$125)*'Option inputs'!$F15*S$55+SUMIF($AN$61:$AN$125,$C129,BD$61:BD$125)-SUMIF($AN$61:$AN$125,'Option inputs'!$C$14,BD$61:BD$125)*'Option inputs'!$F15*S$55</f>
        <v>0</v>
      </c>
      <c r="T129" s="17">
        <f>SUMIF($C$61:$C$125,$C129,T$61:T$125)-SUMIF($C$61:$C$125,'Option inputs'!$C$14,T$61:T$125)*'Option inputs'!$F15*T$55+SUMIF($AN$61:$AN$125,$C129,BE$61:BE$125)-SUMIF($AN$61:$AN$125,'Option inputs'!$C$14,BE$61:BE$125)*'Option inputs'!$F15*T$55</f>
        <v>0</v>
      </c>
      <c r="U129" s="17">
        <f>SUMIF($C$61:$C$125,$C129,U$61:U$125)-SUMIF($C$61:$C$125,'Option inputs'!$C$14,U$61:U$125)*'Option inputs'!$F15*U$55+SUMIF($AN$61:$AN$125,$C129,BF$61:BF$125)-SUMIF($AN$61:$AN$125,'Option inputs'!$C$14,BF$61:BF$125)*'Option inputs'!$F15*U$55</f>
        <v>0</v>
      </c>
      <c r="V129" s="17">
        <f>SUMIF($C$61:$C$125,$C129,V$61:V$125)-SUMIF($C$61:$C$125,'Option inputs'!$C$14,V$61:V$125)*'Option inputs'!$F15*V$55+SUMIF($AN$61:$AN$125,$C129,BG$61:BG$125)-SUMIF($AN$61:$AN$125,'Option inputs'!$C$14,BG$61:BG$125)*'Option inputs'!$F15*V$55</f>
        <v>0</v>
      </c>
      <c r="W129" s="17">
        <f>SUMIF($C$61:$C$125,$C129,W$61:W$125)-SUMIF($C$61:$C$125,'Option inputs'!$C$14,W$61:W$125)*'Option inputs'!$F15*W$55+SUMIF($AN$61:$AN$125,$C129,BH$61:BH$125)-SUMIF($AN$61:$AN$125,'Option inputs'!$C$14,BH$61:BH$125)*'Option inputs'!$F15*W$55</f>
        <v>0</v>
      </c>
      <c r="X129" s="17">
        <f>SUMIF($C$61:$C$125,$C129,X$61:X$125)-SUMIF($C$61:$C$125,'Option inputs'!$C$14,X$61:X$125)*'Option inputs'!$F15*X$55+SUMIF($AN$61:$AN$125,$C129,BI$61:BI$125)-SUMIF($AN$61:$AN$125,'Option inputs'!$C$14,BI$61:BI$125)*'Option inputs'!$F15*X$55</f>
        <v>0</v>
      </c>
      <c r="Y129" s="17">
        <f>SUMIF($C$61:$C$125,$C129,Y$61:Y$125)-SUMIF($C$61:$C$125,'Option inputs'!$C$14,Y$61:Y$125)*'Option inputs'!$F15*Y$55+SUMIF($AN$61:$AN$125,$C129,BJ$61:BJ$125)-SUMIF($AN$61:$AN$125,'Option inputs'!$C$14,BJ$61:BJ$125)*'Option inputs'!$F15*Y$55</f>
        <v>0</v>
      </c>
      <c r="Z129" s="17">
        <f>SUMIF($C$61:$C$125,$C129,Z$61:Z$125)-SUMIF($C$61:$C$125,'Option inputs'!$C$14,Z$61:Z$125)*'Option inputs'!$F15*Z$55+SUMIF($AN$61:$AN$125,$C129,BK$61:BK$125)-SUMIF($AN$61:$AN$125,'Option inputs'!$C$14,BK$61:BK$125)*'Option inputs'!$F15*Z$55</f>
        <v>0</v>
      </c>
      <c r="AA129" s="17">
        <f>SUMIF($C$61:$C$125,$C129,AA$61:AA$125)-SUMIF($C$61:$C$125,'Option inputs'!$C$14,AA$61:AA$125)*'Option inputs'!$F15*AA$55+SUMIF($AN$61:$AN$125,$C129,BL$61:BL$125)-SUMIF($AN$61:$AN$125,'Option inputs'!$C$14,BL$61:BL$125)*'Option inputs'!$F15*AA$55</f>
        <v>0</v>
      </c>
      <c r="AB129" s="17">
        <f>SUMIF($C$61:$C$125,$C129,AB$61:AB$125)-SUMIF($C$61:$C$125,'Option inputs'!$C$14,AB$61:AB$125)*'Option inputs'!$F15*AB$55+SUMIF($AN$61:$AN$125,$C129,BM$61:BM$125)-SUMIF($AN$61:$AN$125,'Option inputs'!$C$14,BM$61:BM$125)*'Option inputs'!$F15*AB$55</f>
        <v>0</v>
      </c>
      <c r="AC129" s="17">
        <f>SUMIF($C$61:$C$125,$C129,AC$61:AC$125)-SUMIF($C$61:$C$125,'Option inputs'!$C$14,AC$61:AC$125)*'Option inputs'!$F15*AC$55+SUMIF($AN$61:$AN$125,$C129,BN$61:BN$125)-SUMIF($AN$61:$AN$125,'Option inputs'!$C$14,BN$61:BN$125)*'Option inputs'!$F15*AC$55</f>
        <v>0</v>
      </c>
      <c r="AD129" s="17">
        <f>SUMIF($C$61:$C$125,$C129,AD$61:AD$125)-SUMIF($C$61:$C$125,'Option inputs'!$C$14,AD$61:AD$125)*'Option inputs'!$F15*AD$55+SUMIF($AN$61:$AN$125,$C129,BO$61:BO$125)-SUMIF($AN$61:$AN$125,'Option inputs'!$C$14,BO$61:BO$125)*'Option inputs'!$F15*AD$55</f>
        <v>0</v>
      </c>
      <c r="AE129" s="17">
        <f>SUMIF($C$61:$C$125,$C129,AE$61:AE$125)-SUMIF($C$61:$C$125,'Option inputs'!$C$14,AE$61:AE$125)*'Option inputs'!$F15*AE$55+SUMIF($AN$61:$AN$125,$C129,BP$61:BP$125)-SUMIF($AN$61:$AN$125,'Option inputs'!$C$14,BP$61:BP$125)*'Option inputs'!$F15*AE$55</f>
        <v>0</v>
      </c>
      <c r="AF129" s="17">
        <f>SUMIF($C$61:$C$125,$C129,AF$61:AF$125)-SUMIF($C$61:$C$125,'Option inputs'!$C$14,AF$61:AF$125)*'Option inputs'!$F15*AF$55+SUMIF($AN$61:$AN$125,$C129,BQ$61:BQ$125)-SUMIF($AN$61:$AN$125,'Option inputs'!$C$14,BQ$61:BQ$125)*'Option inputs'!$F15*AF$55</f>
        <v>449340000</v>
      </c>
      <c r="AG129" s="17">
        <f>SUMIF($C$61:$C$125,$C129,AG$61:AG$125)-SUMIF($C$61:$C$125,'Option inputs'!$C$14,AG$61:AG$125)*'Option inputs'!$F15*AG$55+SUMIF($AN$61:$AN$125,$C129,BR$61:BR$125)-SUMIF($AN$61:$AN$125,'Option inputs'!$C$14,BR$61:BR$125)*'Option inputs'!$F15*AG$55</f>
        <v>0</v>
      </c>
      <c r="AH129" s="17">
        <f>SUMIF($C$61:$C$125,$C129,AH$61:AH$125)-SUMIF($C$61:$C$125,'Option inputs'!$C$14,AH$61:AH$125)*'Option inputs'!$F15*AH$55+SUMIF($AN$61:$AN$125,$C129,BS$61:BS$125)-SUMIF($AN$61:$AN$125,'Option inputs'!$C$14,BS$61:BS$125)*'Option inputs'!$F15*AH$55</f>
        <v>0</v>
      </c>
      <c r="AI129" s="17">
        <f>SUMIF($C$61:$C$125,$C129,AI$61:AI$125)-SUMIF($C$61:$C$125,'Option inputs'!$C$14,AI$61:AI$125)*'Option inputs'!$F15*AI$55+SUMIF($AN$61:$AN$125,$C129,BT$61:BT$125)-SUMIF($AN$61:$AN$125,'Option inputs'!$C$14,BT$61:BT$125)*'Option inputs'!$F15*AI$55</f>
        <v>0</v>
      </c>
      <c r="AJ129" s="17">
        <f>SUMIF($C$61:$C$125,$C129,AJ$61:AJ$125)-SUMIF($C$61:$C$125,'Option inputs'!$C$14,AJ$61:AJ$125)*'Option inputs'!$F15*AJ$55+SUMIF($AN$61:$AN$125,$C129,BU$61:BU$125)-SUMIF($AN$61:$AN$125,'Option inputs'!$C$14,BU$61:BU$125)*'Option inputs'!$F15*AJ$55</f>
        <v>0</v>
      </c>
    </row>
    <row r="130" spans="2:36" x14ac:dyDescent="0.35">
      <c r="B130" s="9">
        <f>+'Option inputs'!$B$16</f>
        <v>2</v>
      </c>
      <c r="C130" s="14" t="str">
        <f>+'Option inputs'!$C$16</f>
        <v>Option 1B</v>
      </c>
      <c r="D130" s="26"/>
      <c r="E130" s="12" t="s">
        <v>35</v>
      </c>
      <c r="F130" s="18">
        <f t="shared" si="39"/>
        <v>-756473955.44733691</v>
      </c>
      <c r="G130" s="17">
        <f>SUMIF($C$61:$C$125,$C130,G$61:G$125)-SUMIF($C$61:$C$125,'Option inputs'!$C$14,G$61:G$125)*'Option inputs'!$F16*G$55+SUMIF($AN$61:$AN$125,$C130,AR$61:AR$125)-SUMIF($AN$61:$AN$125,'Option inputs'!$C$14,AR$61:AR$125)*'Option inputs'!$F16*G$55</f>
        <v>0</v>
      </c>
      <c r="H130" s="17">
        <f>SUMIF($C$61:$C$125,$C130,H$61:H$125)-SUMIF($C$61:$C$125,'Option inputs'!$C$14,H$61:H$125)*'Option inputs'!$F16*H$55+SUMIF($AN$61:$AN$125,$C130,AS$61:AS$125)-SUMIF($AN$61:$AN$125,'Option inputs'!$C$14,AS$61:AS$125)*'Option inputs'!$F16*H$55</f>
        <v>-239250000</v>
      </c>
      <c r="I130" s="17">
        <f>SUMIF($C$61:$C$125,$C130,I$61:I$125)-SUMIF($C$61:$C$125,'Option inputs'!$C$14,I$61:I$125)*'Option inputs'!$F16*I$55+SUMIF($AN$61:$AN$125,$C130,AT$61:AT$125)-SUMIF($AN$61:$AN$125,'Option inputs'!$C$14,AT$61:AT$125)*'Option inputs'!$F16*I$55</f>
        <v>-239250000</v>
      </c>
      <c r="J130" s="17">
        <f>SUMIF($C$61:$C$125,$C130,J$61:J$125)-SUMIF($C$61:$C$125,'Option inputs'!$C$14,J$61:J$125)*'Option inputs'!$F16*J$55+SUMIF($AN$61:$AN$125,$C130,AU$61:AU$125)-SUMIF($AN$61:$AN$125,'Option inputs'!$C$14,AU$61:AU$125)*'Option inputs'!$F16*J$55</f>
        <v>-239250000</v>
      </c>
      <c r="K130" s="17">
        <f>SUMIF($C$61:$C$125,$C130,K$61:K$125)-SUMIF($C$61:$C$125,'Option inputs'!$C$14,K$61:K$125)*'Option inputs'!$F16*K$55+SUMIF($AN$61:$AN$125,$C130,AV$61:AV$125)-SUMIF($AN$61:$AN$125,'Option inputs'!$C$14,AV$61:AV$125)*'Option inputs'!$F16*K$55</f>
        <v>-239250000</v>
      </c>
      <c r="L130" s="17">
        <f>SUMIF($C$61:$C$125,$C130,L$61:L$125)-SUMIF($C$61:$C$125,'Option inputs'!$C$14,L$61:L$125)*'Option inputs'!$F16*L$55+SUMIF($AN$61:$AN$125,$C130,AW$61:AW$125)-SUMIF($AN$61:$AN$125,'Option inputs'!$C$14,AW$61:AW$125)*'Option inputs'!$F16*L$55</f>
        <v>0</v>
      </c>
      <c r="M130" s="17">
        <f>SUMIF($C$61:$C$125,$C130,M$61:M$125)-SUMIF($C$61:$C$125,'Option inputs'!$C$14,M$61:M$125)*'Option inputs'!$F16*M$55+SUMIF($AN$61:$AN$125,$C130,AX$61:AX$125)-SUMIF($AN$61:$AN$125,'Option inputs'!$C$14,AX$61:AX$125)*'Option inputs'!$F16*M$55</f>
        <v>0</v>
      </c>
      <c r="N130" s="17">
        <f>SUMIF($C$61:$C$125,$C130,N$61:N$125)-SUMIF($C$61:$C$125,'Option inputs'!$C$14,N$61:N$125)*'Option inputs'!$F16*N$55+SUMIF($AN$61:$AN$125,$C130,AY$61:AY$125)-SUMIF($AN$61:$AN$125,'Option inputs'!$C$14,AY$61:AY$125)*'Option inputs'!$F16*N$55</f>
        <v>0</v>
      </c>
      <c r="O130" s="17">
        <f>SUMIF($C$61:$C$125,$C130,O$61:O$125)-SUMIF($C$61:$C$125,'Option inputs'!$C$14,O$61:O$125)*'Option inputs'!$F16*O$55+SUMIF($AN$61:$AN$125,$C130,AZ$61:AZ$125)-SUMIF($AN$61:$AN$125,'Option inputs'!$C$14,AZ$61:AZ$125)*'Option inputs'!$F16*O$55</f>
        <v>-58500000</v>
      </c>
      <c r="P130" s="17">
        <f>SUMIF($C$61:$C$125,$C130,P$61:P$125)-SUMIF($C$61:$C$125,'Option inputs'!$C$14,P$61:P$125)*'Option inputs'!$F16*P$55+SUMIF($AN$61:$AN$125,$C130,BA$61:BA$125)-SUMIF($AN$61:$AN$125,'Option inputs'!$C$14,BA$61:BA$125)*'Option inputs'!$F16*P$55</f>
        <v>-58500000</v>
      </c>
      <c r="Q130" s="17">
        <f>SUMIF($C$61:$C$125,$C130,Q$61:Q$125)-SUMIF($C$61:$C$125,'Option inputs'!$C$14,Q$61:Q$125)*'Option inputs'!$F16*Q$55+SUMIF($AN$61:$AN$125,$C130,BB$61:BB$125)-SUMIF($AN$61:$AN$125,'Option inputs'!$C$14,BB$61:BB$125)*'Option inputs'!$F16*Q$55</f>
        <v>0</v>
      </c>
      <c r="R130" s="17">
        <f>SUMIF($C$61:$C$125,$C130,R$61:R$125)-SUMIF($C$61:$C$125,'Option inputs'!$C$14,R$61:R$125)*'Option inputs'!$F16*R$55+SUMIF($AN$61:$AN$125,$C130,BC$61:BC$125)-SUMIF($AN$61:$AN$125,'Option inputs'!$C$14,BC$61:BC$125)*'Option inputs'!$F16*R$55</f>
        <v>0</v>
      </c>
      <c r="S130" s="17">
        <f>SUMIF($C$61:$C$125,$C130,S$61:S$125)-SUMIF($C$61:$C$125,'Option inputs'!$C$14,S$61:S$125)*'Option inputs'!$F16*S$55+SUMIF($AN$61:$AN$125,$C130,BD$61:BD$125)-SUMIF($AN$61:$AN$125,'Option inputs'!$C$14,BD$61:BD$125)*'Option inputs'!$F16*S$55</f>
        <v>0</v>
      </c>
      <c r="T130" s="17">
        <f>SUMIF($C$61:$C$125,$C130,T$61:T$125)-SUMIF($C$61:$C$125,'Option inputs'!$C$14,T$61:T$125)*'Option inputs'!$F16*T$55+SUMIF($AN$61:$AN$125,$C130,BE$61:BE$125)-SUMIF($AN$61:$AN$125,'Option inputs'!$C$14,BE$61:BE$125)*'Option inputs'!$F16*T$55</f>
        <v>0</v>
      </c>
      <c r="U130" s="17">
        <f>SUMIF($C$61:$C$125,$C130,U$61:U$125)-SUMIF($C$61:$C$125,'Option inputs'!$C$14,U$61:U$125)*'Option inputs'!$F16*U$55+SUMIF($AN$61:$AN$125,$C130,BF$61:BF$125)-SUMIF($AN$61:$AN$125,'Option inputs'!$C$14,BF$61:BF$125)*'Option inputs'!$F16*U$55</f>
        <v>0</v>
      </c>
      <c r="V130" s="17">
        <f>SUMIF($C$61:$C$125,$C130,V$61:V$125)-SUMIF($C$61:$C$125,'Option inputs'!$C$14,V$61:V$125)*'Option inputs'!$F16*V$55+SUMIF($AN$61:$AN$125,$C130,BG$61:BG$125)-SUMIF($AN$61:$AN$125,'Option inputs'!$C$14,BG$61:BG$125)*'Option inputs'!$F16*V$55</f>
        <v>0</v>
      </c>
      <c r="W130" s="17">
        <f>SUMIF($C$61:$C$125,$C130,W$61:W$125)-SUMIF($C$61:$C$125,'Option inputs'!$C$14,W$61:W$125)*'Option inputs'!$F16*W$55+SUMIF($AN$61:$AN$125,$C130,BH$61:BH$125)-SUMIF($AN$61:$AN$125,'Option inputs'!$C$14,BH$61:BH$125)*'Option inputs'!$F16*W$55</f>
        <v>0</v>
      </c>
      <c r="X130" s="17">
        <f>SUMIF($C$61:$C$125,$C130,X$61:X$125)-SUMIF($C$61:$C$125,'Option inputs'!$C$14,X$61:X$125)*'Option inputs'!$F16*X$55+SUMIF($AN$61:$AN$125,$C130,BI$61:BI$125)-SUMIF($AN$61:$AN$125,'Option inputs'!$C$14,BI$61:BI$125)*'Option inputs'!$F16*X$55</f>
        <v>0</v>
      </c>
      <c r="Y130" s="17">
        <f>SUMIF($C$61:$C$125,$C130,Y$61:Y$125)-SUMIF($C$61:$C$125,'Option inputs'!$C$14,Y$61:Y$125)*'Option inputs'!$F16*Y$55+SUMIF($AN$61:$AN$125,$C130,BJ$61:BJ$125)-SUMIF($AN$61:$AN$125,'Option inputs'!$C$14,BJ$61:BJ$125)*'Option inputs'!$F16*Y$55</f>
        <v>0</v>
      </c>
      <c r="Z130" s="17">
        <f>SUMIF($C$61:$C$125,$C130,Z$61:Z$125)-SUMIF($C$61:$C$125,'Option inputs'!$C$14,Z$61:Z$125)*'Option inputs'!$F16*Z$55+SUMIF($AN$61:$AN$125,$C130,BK$61:BK$125)-SUMIF($AN$61:$AN$125,'Option inputs'!$C$14,BK$61:BK$125)*'Option inputs'!$F16*Z$55</f>
        <v>0</v>
      </c>
      <c r="AA130" s="17">
        <f>SUMIF($C$61:$C$125,$C130,AA$61:AA$125)-SUMIF($C$61:$C$125,'Option inputs'!$C$14,AA$61:AA$125)*'Option inputs'!$F16*AA$55+SUMIF($AN$61:$AN$125,$C130,BL$61:BL$125)-SUMIF($AN$61:$AN$125,'Option inputs'!$C$14,BL$61:BL$125)*'Option inputs'!$F16*AA$55</f>
        <v>0</v>
      </c>
      <c r="AB130" s="17">
        <f>SUMIF($C$61:$C$125,$C130,AB$61:AB$125)-SUMIF($C$61:$C$125,'Option inputs'!$C$14,AB$61:AB$125)*'Option inputs'!$F16*AB$55+SUMIF($AN$61:$AN$125,$C130,BM$61:BM$125)-SUMIF($AN$61:$AN$125,'Option inputs'!$C$14,BM$61:BM$125)*'Option inputs'!$F16*AB$55</f>
        <v>0</v>
      </c>
      <c r="AC130" s="17">
        <f>SUMIF($C$61:$C$125,$C130,AC$61:AC$125)-SUMIF($C$61:$C$125,'Option inputs'!$C$14,AC$61:AC$125)*'Option inputs'!$F16*AC$55+SUMIF($AN$61:$AN$125,$C130,BN$61:BN$125)-SUMIF($AN$61:$AN$125,'Option inputs'!$C$14,BN$61:BN$125)*'Option inputs'!$F16*AC$55</f>
        <v>0</v>
      </c>
      <c r="AD130" s="17">
        <f>SUMIF($C$61:$C$125,$C130,AD$61:AD$125)-SUMIF($C$61:$C$125,'Option inputs'!$C$14,AD$61:AD$125)*'Option inputs'!$F16*AD$55+SUMIF($AN$61:$AN$125,$C130,BO$61:BO$125)-SUMIF($AN$61:$AN$125,'Option inputs'!$C$14,BO$61:BO$125)*'Option inputs'!$F16*AD$55</f>
        <v>0</v>
      </c>
      <c r="AE130" s="17">
        <f>SUMIF($C$61:$C$125,$C130,AE$61:AE$125)-SUMIF($C$61:$C$125,'Option inputs'!$C$14,AE$61:AE$125)*'Option inputs'!$F16*AE$55+SUMIF($AN$61:$AN$125,$C130,BP$61:BP$125)-SUMIF($AN$61:$AN$125,'Option inputs'!$C$14,BP$61:BP$125)*'Option inputs'!$F16*AE$55</f>
        <v>0</v>
      </c>
      <c r="AF130" s="17">
        <f>SUMIF($C$61:$C$125,$C130,AF$61:AF$125)-SUMIF($C$61:$C$125,'Option inputs'!$C$14,AF$61:AF$125)*'Option inputs'!$F16*AF$55+SUMIF($AN$61:$AN$125,$C130,BQ$61:BQ$125)-SUMIF($AN$61:$AN$125,'Option inputs'!$C$14,BQ$61:BQ$125)*'Option inputs'!$F16*AF$55</f>
        <v>613500000</v>
      </c>
      <c r="AG130" s="17">
        <f>SUMIF($C$61:$C$125,$C130,AG$61:AG$125)-SUMIF($C$61:$C$125,'Option inputs'!$C$14,AG$61:AG$125)*'Option inputs'!$F16*AG$55+SUMIF($AN$61:$AN$125,$C130,BR$61:BR$125)-SUMIF($AN$61:$AN$125,'Option inputs'!$C$14,BR$61:BR$125)*'Option inputs'!$F16*AG$55</f>
        <v>0</v>
      </c>
      <c r="AH130" s="17">
        <f>SUMIF($C$61:$C$125,$C130,AH$61:AH$125)-SUMIF($C$61:$C$125,'Option inputs'!$C$14,AH$61:AH$125)*'Option inputs'!$F16*AH$55+SUMIF($AN$61:$AN$125,$C130,BS$61:BS$125)-SUMIF($AN$61:$AN$125,'Option inputs'!$C$14,BS$61:BS$125)*'Option inputs'!$F16*AH$55</f>
        <v>0</v>
      </c>
      <c r="AI130" s="17">
        <f>SUMIF($C$61:$C$125,$C130,AI$61:AI$125)-SUMIF($C$61:$C$125,'Option inputs'!$C$14,AI$61:AI$125)*'Option inputs'!$F16*AI$55+SUMIF($AN$61:$AN$125,$C130,BT$61:BT$125)-SUMIF($AN$61:$AN$125,'Option inputs'!$C$14,BT$61:BT$125)*'Option inputs'!$F16*AI$55</f>
        <v>0</v>
      </c>
      <c r="AJ130" s="17">
        <f>SUMIF($C$61:$C$125,$C130,AJ$61:AJ$125)-SUMIF($C$61:$C$125,'Option inputs'!$C$14,AJ$61:AJ$125)*'Option inputs'!$F16*AJ$55+SUMIF($AN$61:$AN$125,$C130,BU$61:BU$125)-SUMIF($AN$61:$AN$125,'Option inputs'!$C$14,BU$61:BU$125)*'Option inputs'!$F16*AJ$55</f>
        <v>0</v>
      </c>
    </row>
    <row r="131" spans="2:36" x14ac:dyDescent="0.35">
      <c r="B131" s="9">
        <f>+'Option inputs'!$B$17</f>
        <v>3</v>
      </c>
      <c r="C131" s="14" t="str">
        <f>+'Option inputs'!$C$17</f>
        <v>Option 1C</v>
      </c>
      <c r="D131" s="26"/>
      <c r="E131" s="12" t="s">
        <v>35</v>
      </c>
      <c r="F131" s="18">
        <f t="shared" si="39"/>
        <v>-779077264.97431016</v>
      </c>
      <c r="G131" s="17">
        <f>SUMIF($C$61:$C$125,$C131,G$61:G$125)-SUMIF($C$61:$C$125,'Option inputs'!$C$14,G$61:G$125)*'Option inputs'!$F17*G$55+SUMIF($AN$61:$AN$125,$C131,AR$61:AR$125)-SUMIF($AN$61:$AN$125,'Option inputs'!$C$14,AR$61:AR$125)*'Option inputs'!$F17*G$55</f>
        <v>0</v>
      </c>
      <c r="H131" s="17">
        <f>SUMIF($C$61:$C$125,$C131,H$61:H$125)-SUMIF($C$61:$C$125,'Option inputs'!$C$14,H$61:H$125)*'Option inputs'!$F17*H$55+SUMIF($AN$61:$AN$125,$C131,AS$61:AS$125)-SUMIF($AN$61:$AN$125,'Option inputs'!$C$14,AS$61:AS$125)*'Option inputs'!$F17*H$55</f>
        <v>-265000000</v>
      </c>
      <c r="I131" s="17">
        <f>SUMIF($C$61:$C$125,$C131,I$61:I$125)-SUMIF($C$61:$C$125,'Option inputs'!$C$14,I$61:I$125)*'Option inputs'!$F17*I$55+SUMIF($AN$61:$AN$125,$C131,AT$61:AT$125)-SUMIF($AN$61:$AN$125,'Option inputs'!$C$14,AT$61:AT$125)*'Option inputs'!$F17*I$55</f>
        <v>-265000000</v>
      </c>
      <c r="J131" s="17">
        <f>SUMIF($C$61:$C$125,$C131,J$61:J$125)-SUMIF($C$61:$C$125,'Option inputs'!$C$14,J$61:J$125)*'Option inputs'!$F17*J$55+SUMIF($AN$61:$AN$125,$C131,AU$61:AU$125)-SUMIF($AN$61:$AN$125,'Option inputs'!$C$14,AU$61:AU$125)*'Option inputs'!$F17*J$55</f>
        <v>-265000000</v>
      </c>
      <c r="K131" s="17">
        <f>SUMIF($C$61:$C$125,$C131,K$61:K$125)-SUMIF($C$61:$C$125,'Option inputs'!$C$14,K$61:K$125)*'Option inputs'!$F17*K$55+SUMIF($AN$61:$AN$125,$C131,AV$61:AV$125)-SUMIF($AN$61:$AN$125,'Option inputs'!$C$14,AV$61:AV$125)*'Option inputs'!$F17*K$55</f>
        <v>-265000000</v>
      </c>
      <c r="L131" s="17">
        <f>SUMIF($C$61:$C$125,$C131,L$61:L$125)-SUMIF($C$61:$C$125,'Option inputs'!$C$14,L$61:L$125)*'Option inputs'!$F17*L$55+SUMIF($AN$61:$AN$125,$C131,AW$61:AW$125)-SUMIF($AN$61:$AN$125,'Option inputs'!$C$14,AW$61:AW$125)*'Option inputs'!$F17*L$55</f>
        <v>0</v>
      </c>
      <c r="M131" s="17">
        <f>SUMIF($C$61:$C$125,$C131,M$61:M$125)-SUMIF($C$61:$C$125,'Option inputs'!$C$14,M$61:M$125)*'Option inputs'!$F17*M$55+SUMIF($AN$61:$AN$125,$C131,AX$61:AX$125)-SUMIF($AN$61:$AN$125,'Option inputs'!$C$14,AX$61:AX$125)*'Option inputs'!$F17*M$55</f>
        <v>0</v>
      </c>
      <c r="N131" s="17">
        <f>SUMIF($C$61:$C$125,$C131,N$61:N$125)-SUMIF($C$61:$C$125,'Option inputs'!$C$14,N$61:N$125)*'Option inputs'!$F17*N$55+SUMIF($AN$61:$AN$125,$C131,AY$61:AY$125)-SUMIF($AN$61:$AN$125,'Option inputs'!$C$14,AY$61:AY$125)*'Option inputs'!$F17*N$55</f>
        <v>0</v>
      </c>
      <c r="O131" s="17">
        <f>SUMIF($C$61:$C$125,$C131,O$61:O$125)-SUMIF($C$61:$C$125,'Option inputs'!$C$14,O$61:O$125)*'Option inputs'!$F17*O$55+SUMIF($AN$61:$AN$125,$C131,AZ$61:AZ$125)-SUMIF($AN$61:$AN$125,'Option inputs'!$C$14,AZ$61:AZ$125)*'Option inputs'!$F17*O$55</f>
        <v>0</v>
      </c>
      <c r="P131" s="17">
        <f>SUMIF($C$61:$C$125,$C131,P$61:P$125)-SUMIF($C$61:$C$125,'Option inputs'!$C$14,P$61:P$125)*'Option inputs'!$F17*P$55+SUMIF($AN$61:$AN$125,$C131,BA$61:BA$125)-SUMIF($AN$61:$AN$125,'Option inputs'!$C$14,BA$61:BA$125)*'Option inputs'!$F17*P$55</f>
        <v>0</v>
      </c>
      <c r="Q131" s="17">
        <f>SUMIF($C$61:$C$125,$C131,Q$61:Q$125)-SUMIF($C$61:$C$125,'Option inputs'!$C$14,Q$61:Q$125)*'Option inputs'!$F17*Q$55+SUMIF($AN$61:$AN$125,$C131,BB$61:BB$125)-SUMIF($AN$61:$AN$125,'Option inputs'!$C$14,BB$61:BB$125)*'Option inputs'!$F17*Q$55</f>
        <v>0</v>
      </c>
      <c r="R131" s="17">
        <f>SUMIF($C$61:$C$125,$C131,R$61:R$125)-SUMIF($C$61:$C$125,'Option inputs'!$C$14,R$61:R$125)*'Option inputs'!$F17*R$55+SUMIF($AN$61:$AN$125,$C131,BC$61:BC$125)-SUMIF($AN$61:$AN$125,'Option inputs'!$C$14,BC$61:BC$125)*'Option inputs'!$F17*R$55</f>
        <v>0</v>
      </c>
      <c r="S131" s="17">
        <f>SUMIF($C$61:$C$125,$C131,S$61:S$125)-SUMIF($C$61:$C$125,'Option inputs'!$C$14,S$61:S$125)*'Option inputs'!$F17*S$55+SUMIF($AN$61:$AN$125,$C131,BD$61:BD$125)-SUMIF($AN$61:$AN$125,'Option inputs'!$C$14,BD$61:BD$125)*'Option inputs'!$F17*S$55</f>
        <v>0</v>
      </c>
      <c r="T131" s="17">
        <f>SUMIF($C$61:$C$125,$C131,T$61:T$125)-SUMIF($C$61:$C$125,'Option inputs'!$C$14,T$61:T$125)*'Option inputs'!$F17*T$55+SUMIF($AN$61:$AN$125,$C131,BE$61:BE$125)-SUMIF($AN$61:$AN$125,'Option inputs'!$C$14,BE$61:BE$125)*'Option inputs'!$F17*T$55</f>
        <v>0</v>
      </c>
      <c r="U131" s="17">
        <f>SUMIF($C$61:$C$125,$C131,U$61:U$125)-SUMIF($C$61:$C$125,'Option inputs'!$C$14,U$61:U$125)*'Option inputs'!$F17*U$55+SUMIF($AN$61:$AN$125,$C131,BF$61:BF$125)-SUMIF($AN$61:$AN$125,'Option inputs'!$C$14,BF$61:BF$125)*'Option inputs'!$F17*U$55</f>
        <v>0</v>
      </c>
      <c r="V131" s="17">
        <f>SUMIF($C$61:$C$125,$C131,V$61:V$125)-SUMIF($C$61:$C$125,'Option inputs'!$C$14,V$61:V$125)*'Option inputs'!$F17*V$55+SUMIF($AN$61:$AN$125,$C131,BG$61:BG$125)-SUMIF($AN$61:$AN$125,'Option inputs'!$C$14,BG$61:BG$125)*'Option inputs'!$F17*V$55</f>
        <v>0</v>
      </c>
      <c r="W131" s="17">
        <f>SUMIF($C$61:$C$125,$C131,W$61:W$125)-SUMIF($C$61:$C$125,'Option inputs'!$C$14,W$61:W$125)*'Option inputs'!$F17*W$55+SUMIF($AN$61:$AN$125,$C131,BH$61:BH$125)-SUMIF($AN$61:$AN$125,'Option inputs'!$C$14,BH$61:BH$125)*'Option inputs'!$F17*W$55</f>
        <v>0</v>
      </c>
      <c r="X131" s="17">
        <f>SUMIF($C$61:$C$125,$C131,X$61:X$125)-SUMIF($C$61:$C$125,'Option inputs'!$C$14,X$61:X$125)*'Option inputs'!$F17*X$55+SUMIF($AN$61:$AN$125,$C131,BI$61:BI$125)-SUMIF($AN$61:$AN$125,'Option inputs'!$C$14,BI$61:BI$125)*'Option inputs'!$F17*X$55</f>
        <v>0</v>
      </c>
      <c r="Y131" s="17">
        <f>SUMIF($C$61:$C$125,$C131,Y$61:Y$125)-SUMIF($C$61:$C$125,'Option inputs'!$C$14,Y$61:Y$125)*'Option inputs'!$F17*Y$55+SUMIF($AN$61:$AN$125,$C131,BJ$61:BJ$125)-SUMIF($AN$61:$AN$125,'Option inputs'!$C$14,BJ$61:BJ$125)*'Option inputs'!$F17*Y$55</f>
        <v>0</v>
      </c>
      <c r="Z131" s="17">
        <f>SUMIF($C$61:$C$125,$C131,Z$61:Z$125)-SUMIF($C$61:$C$125,'Option inputs'!$C$14,Z$61:Z$125)*'Option inputs'!$F17*Z$55+SUMIF($AN$61:$AN$125,$C131,BK$61:BK$125)-SUMIF($AN$61:$AN$125,'Option inputs'!$C$14,BK$61:BK$125)*'Option inputs'!$F17*Z$55</f>
        <v>0</v>
      </c>
      <c r="AA131" s="17">
        <f>SUMIF($C$61:$C$125,$C131,AA$61:AA$125)-SUMIF($C$61:$C$125,'Option inputs'!$C$14,AA$61:AA$125)*'Option inputs'!$F17*AA$55+SUMIF($AN$61:$AN$125,$C131,BL$61:BL$125)-SUMIF($AN$61:$AN$125,'Option inputs'!$C$14,BL$61:BL$125)*'Option inputs'!$F17*AA$55</f>
        <v>0</v>
      </c>
      <c r="AB131" s="17">
        <f>SUMIF($C$61:$C$125,$C131,AB$61:AB$125)-SUMIF($C$61:$C$125,'Option inputs'!$C$14,AB$61:AB$125)*'Option inputs'!$F17*AB$55+SUMIF($AN$61:$AN$125,$C131,BM$61:BM$125)-SUMIF($AN$61:$AN$125,'Option inputs'!$C$14,BM$61:BM$125)*'Option inputs'!$F17*AB$55</f>
        <v>0</v>
      </c>
      <c r="AC131" s="17">
        <f>SUMIF($C$61:$C$125,$C131,AC$61:AC$125)-SUMIF($C$61:$C$125,'Option inputs'!$C$14,AC$61:AC$125)*'Option inputs'!$F17*AC$55+SUMIF($AN$61:$AN$125,$C131,BN$61:BN$125)-SUMIF($AN$61:$AN$125,'Option inputs'!$C$14,BN$61:BN$125)*'Option inputs'!$F17*AC$55</f>
        <v>0</v>
      </c>
      <c r="AD131" s="17">
        <f>SUMIF($C$61:$C$125,$C131,AD$61:AD$125)-SUMIF($C$61:$C$125,'Option inputs'!$C$14,AD$61:AD$125)*'Option inputs'!$F17*AD$55+SUMIF($AN$61:$AN$125,$C131,BO$61:BO$125)-SUMIF($AN$61:$AN$125,'Option inputs'!$C$14,BO$61:BO$125)*'Option inputs'!$F17*AD$55</f>
        <v>0</v>
      </c>
      <c r="AE131" s="17">
        <f>SUMIF($C$61:$C$125,$C131,AE$61:AE$125)-SUMIF($C$61:$C$125,'Option inputs'!$C$14,AE$61:AE$125)*'Option inputs'!$F17*AE$55+SUMIF($AN$61:$AN$125,$C131,BP$61:BP$125)-SUMIF($AN$61:$AN$125,'Option inputs'!$C$14,BP$61:BP$125)*'Option inputs'!$F17*AE$55</f>
        <v>0</v>
      </c>
      <c r="AF131" s="17">
        <f>SUMIF($C$61:$C$125,$C131,AF$61:AF$125)-SUMIF($C$61:$C$125,'Option inputs'!$C$14,AF$61:AF$125)*'Option inputs'!$F17*AF$55+SUMIF($AN$61:$AN$125,$C131,BQ$61:BQ$125)-SUMIF($AN$61:$AN$125,'Option inputs'!$C$14,BQ$61:BQ$125)*'Option inputs'!$F17*AF$55</f>
        <v>592225000</v>
      </c>
      <c r="AG131" s="17">
        <f>SUMIF($C$61:$C$125,$C131,AG$61:AG$125)-SUMIF($C$61:$C$125,'Option inputs'!$C$14,AG$61:AG$125)*'Option inputs'!$F17*AG$55+SUMIF($AN$61:$AN$125,$C131,BR$61:BR$125)-SUMIF($AN$61:$AN$125,'Option inputs'!$C$14,BR$61:BR$125)*'Option inputs'!$F17*AG$55</f>
        <v>0</v>
      </c>
      <c r="AH131" s="17">
        <f>SUMIF($C$61:$C$125,$C131,AH$61:AH$125)-SUMIF($C$61:$C$125,'Option inputs'!$C$14,AH$61:AH$125)*'Option inputs'!$F17*AH$55+SUMIF($AN$61:$AN$125,$C131,BS$61:BS$125)-SUMIF($AN$61:$AN$125,'Option inputs'!$C$14,BS$61:BS$125)*'Option inputs'!$F17*AH$55</f>
        <v>0</v>
      </c>
      <c r="AI131" s="17">
        <f>SUMIF($C$61:$C$125,$C131,AI$61:AI$125)-SUMIF($C$61:$C$125,'Option inputs'!$C$14,AI$61:AI$125)*'Option inputs'!$F17*AI$55+SUMIF($AN$61:$AN$125,$C131,BT$61:BT$125)-SUMIF($AN$61:$AN$125,'Option inputs'!$C$14,BT$61:BT$125)*'Option inputs'!$F17*AI$55</f>
        <v>0</v>
      </c>
      <c r="AJ131" s="17">
        <f>SUMIF($C$61:$C$125,$C131,AJ$61:AJ$125)-SUMIF($C$61:$C$125,'Option inputs'!$C$14,AJ$61:AJ$125)*'Option inputs'!$F17*AJ$55+SUMIF($AN$61:$AN$125,$C131,BU$61:BU$125)-SUMIF($AN$61:$AN$125,'Option inputs'!$C$14,BU$61:BU$125)*'Option inputs'!$F17*AJ$55</f>
        <v>0</v>
      </c>
    </row>
    <row r="132" spans="2:36" x14ac:dyDescent="0.35">
      <c r="B132" s="9">
        <f>+'Option inputs'!$B$18</f>
        <v>4</v>
      </c>
      <c r="C132" s="14" t="str">
        <f>+'Option inputs'!$C$18</f>
        <v>Option 2A</v>
      </c>
      <c r="D132" s="26"/>
      <c r="E132" s="12" t="s">
        <v>35</v>
      </c>
      <c r="F132" s="18">
        <f t="shared" si="39"/>
        <v>-917815620.17651618</v>
      </c>
      <c r="G132" s="17">
        <f>SUMIF($C$61:$C$125,$C132,G$61:G$125)-SUMIF($C$61:$C$125,'Option inputs'!$C$14,G$61:G$125)*'Option inputs'!$F18*G$55+SUMIF($AN$61:$AN$125,$C132,AR$61:AR$125)-SUMIF($AN$61:$AN$125,'Option inputs'!$C$14,AR$61:AR$125)*'Option inputs'!$F18*G$55</f>
        <v>0</v>
      </c>
      <c r="H132" s="17">
        <f>SUMIF($C$61:$C$125,$C132,H$61:H$125)-SUMIF($C$61:$C$125,'Option inputs'!$C$14,H$61:H$125)*'Option inputs'!$F18*H$55+SUMIF($AN$61:$AN$125,$C132,AS$61:AS$125)-SUMIF($AN$61:$AN$125,'Option inputs'!$C$14,AS$61:AS$125)*'Option inputs'!$F18*H$55</f>
        <v>-311250000</v>
      </c>
      <c r="I132" s="17">
        <f>SUMIF($C$61:$C$125,$C132,I$61:I$125)-SUMIF($C$61:$C$125,'Option inputs'!$C$14,I$61:I$125)*'Option inputs'!$F18*I$55+SUMIF($AN$61:$AN$125,$C132,AT$61:AT$125)-SUMIF($AN$61:$AN$125,'Option inputs'!$C$14,AT$61:AT$125)*'Option inputs'!$F18*I$55</f>
        <v>-311250000</v>
      </c>
      <c r="J132" s="17">
        <f>SUMIF($C$61:$C$125,$C132,J$61:J$125)-SUMIF($C$61:$C$125,'Option inputs'!$C$14,J$61:J$125)*'Option inputs'!$F18*J$55+SUMIF($AN$61:$AN$125,$C132,AU$61:AU$125)-SUMIF($AN$61:$AN$125,'Option inputs'!$C$14,AU$61:AU$125)*'Option inputs'!$F18*J$55</f>
        <v>-311250000</v>
      </c>
      <c r="K132" s="17">
        <f>SUMIF($C$61:$C$125,$C132,K$61:K$125)-SUMIF($C$61:$C$125,'Option inputs'!$C$14,K$61:K$125)*'Option inputs'!$F18*K$55+SUMIF($AN$61:$AN$125,$C132,AV$61:AV$125)-SUMIF($AN$61:$AN$125,'Option inputs'!$C$14,AV$61:AV$125)*'Option inputs'!$F18*K$55</f>
        <v>-311250000</v>
      </c>
      <c r="L132" s="17">
        <f>SUMIF($C$61:$C$125,$C132,L$61:L$125)-SUMIF($C$61:$C$125,'Option inputs'!$C$14,L$61:L$125)*'Option inputs'!$F18*L$55+SUMIF($AN$61:$AN$125,$C132,AW$61:AW$125)-SUMIF($AN$61:$AN$125,'Option inputs'!$C$14,AW$61:AW$125)*'Option inputs'!$F18*L$55</f>
        <v>0</v>
      </c>
      <c r="M132" s="17">
        <f>SUMIF($C$61:$C$125,$C132,M$61:M$125)-SUMIF($C$61:$C$125,'Option inputs'!$C$14,M$61:M$125)*'Option inputs'!$F18*M$55+SUMIF($AN$61:$AN$125,$C132,AX$61:AX$125)-SUMIF($AN$61:$AN$125,'Option inputs'!$C$14,AX$61:AX$125)*'Option inputs'!$F18*M$55</f>
        <v>0</v>
      </c>
      <c r="N132" s="17">
        <f>SUMIF($C$61:$C$125,$C132,N$61:N$125)-SUMIF($C$61:$C$125,'Option inputs'!$C$14,N$61:N$125)*'Option inputs'!$F18*N$55+SUMIF($AN$61:$AN$125,$C132,AY$61:AY$125)-SUMIF($AN$61:$AN$125,'Option inputs'!$C$14,AY$61:AY$125)*'Option inputs'!$F18*N$55</f>
        <v>0</v>
      </c>
      <c r="O132" s="17">
        <f>SUMIF($C$61:$C$125,$C132,O$61:O$125)-SUMIF($C$61:$C$125,'Option inputs'!$C$14,O$61:O$125)*'Option inputs'!$F18*O$55+SUMIF($AN$61:$AN$125,$C132,AZ$61:AZ$125)-SUMIF($AN$61:$AN$125,'Option inputs'!$C$14,AZ$61:AZ$125)*'Option inputs'!$F18*O$55</f>
        <v>0</v>
      </c>
      <c r="P132" s="17">
        <f>SUMIF($C$61:$C$125,$C132,P$61:P$125)-SUMIF($C$61:$C$125,'Option inputs'!$C$14,P$61:P$125)*'Option inputs'!$F18*P$55+SUMIF($AN$61:$AN$125,$C132,BA$61:BA$125)-SUMIF($AN$61:$AN$125,'Option inputs'!$C$14,BA$61:BA$125)*'Option inputs'!$F18*P$55</f>
        <v>0</v>
      </c>
      <c r="Q132" s="17">
        <f>SUMIF($C$61:$C$125,$C132,Q$61:Q$125)-SUMIF($C$61:$C$125,'Option inputs'!$C$14,Q$61:Q$125)*'Option inputs'!$F18*Q$55+SUMIF($AN$61:$AN$125,$C132,BB$61:BB$125)-SUMIF($AN$61:$AN$125,'Option inputs'!$C$14,BB$61:BB$125)*'Option inputs'!$F18*Q$55</f>
        <v>0</v>
      </c>
      <c r="R132" s="17">
        <f>SUMIF($C$61:$C$125,$C132,R$61:R$125)-SUMIF($C$61:$C$125,'Option inputs'!$C$14,R$61:R$125)*'Option inputs'!$F18*R$55+SUMIF($AN$61:$AN$125,$C132,BC$61:BC$125)-SUMIF($AN$61:$AN$125,'Option inputs'!$C$14,BC$61:BC$125)*'Option inputs'!$F18*R$55</f>
        <v>0</v>
      </c>
      <c r="S132" s="17">
        <f>SUMIF($C$61:$C$125,$C132,S$61:S$125)-SUMIF($C$61:$C$125,'Option inputs'!$C$14,S$61:S$125)*'Option inputs'!$F18*S$55+SUMIF($AN$61:$AN$125,$C132,BD$61:BD$125)-SUMIF($AN$61:$AN$125,'Option inputs'!$C$14,BD$61:BD$125)*'Option inputs'!$F18*S$55</f>
        <v>0</v>
      </c>
      <c r="T132" s="17">
        <f>SUMIF($C$61:$C$125,$C132,T$61:T$125)-SUMIF($C$61:$C$125,'Option inputs'!$C$14,T$61:T$125)*'Option inputs'!$F18*T$55+SUMIF($AN$61:$AN$125,$C132,BE$61:BE$125)-SUMIF($AN$61:$AN$125,'Option inputs'!$C$14,BE$61:BE$125)*'Option inputs'!$F18*T$55</f>
        <v>0</v>
      </c>
      <c r="U132" s="17">
        <f>SUMIF($C$61:$C$125,$C132,U$61:U$125)-SUMIF($C$61:$C$125,'Option inputs'!$C$14,U$61:U$125)*'Option inputs'!$F18*U$55+SUMIF($AN$61:$AN$125,$C132,BF$61:BF$125)-SUMIF($AN$61:$AN$125,'Option inputs'!$C$14,BF$61:BF$125)*'Option inputs'!$F18*U$55</f>
        <v>0</v>
      </c>
      <c r="V132" s="17">
        <f>SUMIF($C$61:$C$125,$C132,V$61:V$125)-SUMIF($C$61:$C$125,'Option inputs'!$C$14,V$61:V$125)*'Option inputs'!$F18*V$55+SUMIF($AN$61:$AN$125,$C132,BG$61:BG$125)-SUMIF($AN$61:$AN$125,'Option inputs'!$C$14,BG$61:BG$125)*'Option inputs'!$F18*V$55</f>
        <v>0</v>
      </c>
      <c r="W132" s="17">
        <f>SUMIF($C$61:$C$125,$C132,W$61:W$125)-SUMIF($C$61:$C$125,'Option inputs'!$C$14,W$61:W$125)*'Option inputs'!$F18*W$55+SUMIF($AN$61:$AN$125,$C132,BH$61:BH$125)-SUMIF($AN$61:$AN$125,'Option inputs'!$C$14,BH$61:BH$125)*'Option inputs'!$F18*W$55</f>
        <v>0</v>
      </c>
      <c r="X132" s="17">
        <f>SUMIF($C$61:$C$125,$C132,X$61:X$125)-SUMIF($C$61:$C$125,'Option inputs'!$C$14,X$61:X$125)*'Option inputs'!$F18*X$55+SUMIF($AN$61:$AN$125,$C132,BI$61:BI$125)-SUMIF($AN$61:$AN$125,'Option inputs'!$C$14,BI$61:BI$125)*'Option inputs'!$F18*X$55</f>
        <v>0</v>
      </c>
      <c r="Y132" s="17">
        <f>SUMIF($C$61:$C$125,$C132,Y$61:Y$125)-SUMIF($C$61:$C$125,'Option inputs'!$C$14,Y$61:Y$125)*'Option inputs'!$F18*Y$55+SUMIF($AN$61:$AN$125,$C132,BJ$61:BJ$125)-SUMIF($AN$61:$AN$125,'Option inputs'!$C$14,BJ$61:BJ$125)*'Option inputs'!$F18*Y$55</f>
        <v>0</v>
      </c>
      <c r="Z132" s="17">
        <f>SUMIF($C$61:$C$125,$C132,Z$61:Z$125)-SUMIF($C$61:$C$125,'Option inputs'!$C$14,Z$61:Z$125)*'Option inputs'!$F18*Z$55+SUMIF($AN$61:$AN$125,$C132,BK$61:BK$125)-SUMIF($AN$61:$AN$125,'Option inputs'!$C$14,BK$61:BK$125)*'Option inputs'!$F18*Z$55</f>
        <v>0</v>
      </c>
      <c r="AA132" s="17">
        <f>SUMIF($C$61:$C$125,$C132,AA$61:AA$125)-SUMIF($C$61:$C$125,'Option inputs'!$C$14,AA$61:AA$125)*'Option inputs'!$F18*AA$55+SUMIF($AN$61:$AN$125,$C132,BL$61:BL$125)-SUMIF($AN$61:$AN$125,'Option inputs'!$C$14,BL$61:BL$125)*'Option inputs'!$F18*AA$55</f>
        <v>0</v>
      </c>
      <c r="AB132" s="17">
        <f>SUMIF($C$61:$C$125,$C132,AB$61:AB$125)-SUMIF($C$61:$C$125,'Option inputs'!$C$14,AB$61:AB$125)*'Option inputs'!$F18*AB$55+SUMIF($AN$61:$AN$125,$C132,BM$61:BM$125)-SUMIF($AN$61:$AN$125,'Option inputs'!$C$14,BM$61:BM$125)*'Option inputs'!$F18*AB$55</f>
        <v>0</v>
      </c>
      <c r="AC132" s="17">
        <f>SUMIF($C$61:$C$125,$C132,AC$61:AC$125)-SUMIF($C$61:$C$125,'Option inputs'!$C$14,AC$61:AC$125)*'Option inputs'!$F18*AC$55+SUMIF($AN$61:$AN$125,$C132,BN$61:BN$125)-SUMIF($AN$61:$AN$125,'Option inputs'!$C$14,BN$61:BN$125)*'Option inputs'!$F18*AC$55</f>
        <v>0</v>
      </c>
      <c r="AD132" s="17">
        <f>SUMIF($C$61:$C$125,$C132,AD$61:AD$125)-SUMIF($C$61:$C$125,'Option inputs'!$C$14,AD$61:AD$125)*'Option inputs'!$F18*AD$55+SUMIF($AN$61:$AN$125,$C132,BO$61:BO$125)-SUMIF($AN$61:$AN$125,'Option inputs'!$C$14,BO$61:BO$125)*'Option inputs'!$F18*AD$55</f>
        <v>0</v>
      </c>
      <c r="AE132" s="17">
        <f>SUMIF($C$61:$C$125,$C132,AE$61:AE$125)-SUMIF($C$61:$C$125,'Option inputs'!$C$14,AE$61:AE$125)*'Option inputs'!$F18*AE$55+SUMIF($AN$61:$AN$125,$C132,BP$61:BP$125)-SUMIF($AN$61:$AN$125,'Option inputs'!$C$14,BP$61:BP$125)*'Option inputs'!$F18*AE$55</f>
        <v>0</v>
      </c>
      <c r="AF132" s="17">
        <f>SUMIF($C$61:$C$125,$C132,AF$61:AF$125)-SUMIF($C$61:$C$125,'Option inputs'!$C$14,AF$61:AF$125)*'Option inputs'!$F18*AF$55+SUMIF($AN$61:$AN$125,$C132,BQ$61:BQ$125)-SUMIF($AN$61:$AN$125,'Option inputs'!$C$14,BQ$61:BQ$125)*'Option inputs'!$F18*AF$55</f>
        <v>683985000</v>
      </c>
      <c r="AG132" s="17">
        <f>SUMIF($C$61:$C$125,$C132,AG$61:AG$125)-SUMIF($C$61:$C$125,'Option inputs'!$C$14,AG$61:AG$125)*'Option inputs'!$F18*AG$55+SUMIF($AN$61:$AN$125,$C132,BR$61:BR$125)-SUMIF($AN$61:$AN$125,'Option inputs'!$C$14,BR$61:BR$125)*'Option inputs'!$F18*AG$55</f>
        <v>0</v>
      </c>
      <c r="AH132" s="17">
        <f>SUMIF($C$61:$C$125,$C132,AH$61:AH$125)-SUMIF($C$61:$C$125,'Option inputs'!$C$14,AH$61:AH$125)*'Option inputs'!$F18*AH$55+SUMIF($AN$61:$AN$125,$C132,BS$61:BS$125)-SUMIF($AN$61:$AN$125,'Option inputs'!$C$14,BS$61:BS$125)*'Option inputs'!$F18*AH$55</f>
        <v>0</v>
      </c>
      <c r="AI132" s="17">
        <f>SUMIF($C$61:$C$125,$C132,AI$61:AI$125)-SUMIF($C$61:$C$125,'Option inputs'!$C$14,AI$61:AI$125)*'Option inputs'!$F18*AI$55+SUMIF($AN$61:$AN$125,$C132,BT$61:BT$125)-SUMIF($AN$61:$AN$125,'Option inputs'!$C$14,BT$61:BT$125)*'Option inputs'!$F18*AI$55</f>
        <v>0</v>
      </c>
      <c r="AJ132" s="17">
        <f>SUMIF($C$61:$C$125,$C132,AJ$61:AJ$125)-SUMIF($C$61:$C$125,'Option inputs'!$C$14,AJ$61:AJ$125)*'Option inputs'!$F18*AJ$55+SUMIF($AN$61:$AN$125,$C132,BU$61:BU$125)-SUMIF($AN$61:$AN$125,'Option inputs'!$C$14,BU$61:BU$125)*'Option inputs'!$F18*AJ$55</f>
        <v>0</v>
      </c>
    </row>
    <row r="133" spans="2:36" x14ac:dyDescent="0.35">
      <c r="B133" s="9">
        <f>+'Option inputs'!$B$19</f>
        <v>5</v>
      </c>
      <c r="C133" s="14" t="str">
        <f>+'Option inputs'!$C$19</f>
        <v>Option 2B</v>
      </c>
      <c r="D133" s="26"/>
      <c r="E133" s="12" t="s">
        <v>35</v>
      </c>
      <c r="F133" s="18">
        <f t="shared" si="39"/>
        <v>-1145291955.1863394</v>
      </c>
      <c r="G133" s="17">
        <f>SUMIF($C$61:$C$125,$C133,G$61:G$125)-SUMIF($C$61:$C$125,'Option inputs'!$C$14,G$61:G$125)*'Option inputs'!$F19*G$55+SUMIF($AN$61:$AN$125,$C133,AR$61:AR$125)-SUMIF($AN$61:$AN$125,'Option inputs'!$C$14,AR$61:AR$125)*'Option inputs'!$F19*G$55</f>
        <v>0</v>
      </c>
      <c r="H133" s="17">
        <f>SUMIF($C$61:$C$125,$C133,H$61:H$125)-SUMIF($C$61:$C$125,'Option inputs'!$C$14,H$61:H$125)*'Option inputs'!$F19*H$55+SUMIF($AN$61:$AN$125,$C133,AS$61:AS$125)-SUMIF($AN$61:$AN$125,'Option inputs'!$C$14,AS$61:AS$125)*'Option inputs'!$F19*H$55</f>
        <v>-355750000</v>
      </c>
      <c r="I133" s="17">
        <f>SUMIF($C$61:$C$125,$C133,I$61:I$125)-SUMIF($C$61:$C$125,'Option inputs'!$C$14,I$61:I$125)*'Option inputs'!$F19*I$55+SUMIF($AN$61:$AN$125,$C133,AT$61:AT$125)-SUMIF($AN$61:$AN$125,'Option inputs'!$C$14,AT$61:AT$125)*'Option inputs'!$F19*I$55</f>
        <v>-355750000</v>
      </c>
      <c r="J133" s="17">
        <f>SUMIF($C$61:$C$125,$C133,J$61:J$125)-SUMIF($C$61:$C$125,'Option inputs'!$C$14,J$61:J$125)*'Option inputs'!$F19*J$55+SUMIF($AN$61:$AN$125,$C133,AU$61:AU$125)-SUMIF($AN$61:$AN$125,'Option inputs'!$C$14,AU$61:AU$125)*'Option inputs'!$F19*J$55</f>
        <v>-355750000</v>
      </c>
      <c r="K133" s="17">
        <f>SUMIF($C$61:$C$125,$C133,K$61:K$125)-SUMIF($C$61:$C$125,'Option inputs'!$C$14,K$61:K$125)*'Option inputs'!$F19*K$55+SUMIF($AN$61:$AN$125,$C133,AV$61:AV$125)-SUMIF($AN$61:$AN$125,'Option inputs'!$C$14,AV$61:AV$125)*'Option inputs'!$F19*K$55</f>
        <v>-355750000</v>
      </c>
      <c r="L133" s="17">
        <f>SUMIF($C$61:$C$125,$C133,L$61:L$125)-SUMIF($C$61:$C$125,'Option inputs'!$C$14,L$61:L$125)*'Option inputs'!$F19*L$55+SUMIF($AN$61:$AN$125,$C133,AW$61:AW$125)-SUMIF($AN$61:$AN$125,'Option inputs'!$C$14,AW$61:AW$125)*'Option inputs'!$F19*L$55</f>
        <v>0</v>
      </c>
      <c r="M133" s="17">
        <f>SUMIF($C$61:$C$125,$C133,M$61:M$125)-SUMIF($C$61:$C$125,'Option inputs'!$C$14,M$61:M$125)*'Option inputs'!$F19*M$55+SUMIF($AN$61:$AN$125,$C133,AX$61:AX$125)-SUMIF($AN$61:$AN$125,'Option inputs'!$C$14,AX$61:AX$125)*'Option inputs'!$F19*M$55</f>
        <v>0</v>
      </c>
      <c r="N133" s="17">
        <f>SUMIF($C$61:$C$125,$C133,N$61:N$125)-SUMIF($C$61:$C$125,'Option inputs'!$C$14,N$61:N$125)*'Option inputs'!$F19*N$55+SUMIF($AN$61:$AN$125,$C133,AY$61:AY$125)-SUMIF($AN$61:$AN$125,'Option inputs'!$C$14,AY$61:AY$125)*'Option inputs'!$F19*N$55</f>
        <v>0</v>
      </c>
      <c r="O133" s="17">
        <f>SUMIF($C$61:$C$125,$C133,O$61:O$125)-SUMIF($C$61:$C$125,'Option inputs'!$C$14,O$61:O$125)*'Option inputs'!$F19*O$55+SUMIF($AN$61:$AN$125,$C133,AZ$61:AZ$125)-SUMIF($AN$61:$AN$125,'Option inputs'!$C$14,AZ$61:AZ$125)*'Option inputs'!$F19*O$55</f>
        <v>-104000000</v>
      </c>
      <c r="P133" s="17">
        <f>SUMIF($C$61:$C$125,$C133,P$61:P$125)-SUMIF($C$61:$C$125,'Option inputs'!$C$14,P$61:P$125)*'Option inputs'!$F19*P$55+SUMIF($AN$61:$AN$125,$C133,BA$61:BA$125)-SUMIF($AN$61:$AN$125,'Option inputs'!$C$14,BA$61:BA$125)*'Option inputs'!$F19*P$55</f>
        <v>-104000000</v>
      </c>
      <c r="Q133" s="17">
        <f>SUMIF($C$61:$C$125,$C133,Q$61:Q$125)-SUMIF($C$61:$C$125,'Option inputs'!$C$14,Q$61:Q$125)*'Option inputs'!$F19*Q$55+SUMIF($AN$61:$AN$125,$C133,BB$61:BB$125)-SUMIF($AN$61:$AN$125,'Option inputs'!$C$14,BB$61:BB$125)*'Option inputs'!$F19*Q$55</f>
        <v>0</v>
      </c>
      <c r="R133" s="17">
        <f>SUMIF($C$61:$C$125,$C133,R$61:R$125)-SUMIF($C$61:$C$125,'Option inputs'!$C$14,R$61:R$125)*'Option inputs'!$F19*R$55+SUMIF($AN$61:$AN$125,$C133,BC$61:BC$125)-SUMIF($AN$61:$AN$125,'Option inputs'!$C$14,BC$61:BC$125)*'Option inputs'!$F19*R$55</f>
        <v>0</v>
      </c>
      <c r="S133" s="17">
        <f>SUMIF($C$61:$C$125,$C133,S$61:S$125)-SUMIF($C$61:$C$125,'Option inputs'!$C$14,S$61:S$125)*'Option inputs'!$F19*S$55+SUMIF($AN$61:$AN$125,$C133,BD$61:BD$125)-SUMIF($AN$61:$AN$125,'Option inputs'!$C$14,BD$61:BD$125)*'Option inputs'!$F19*S$55</f>
        <v>0</v>
      </c>
      <c r="T133" s="17">
        <f>SUMIF($C$61:$C$125,$C133,T$61:T$125)-SUMIF($C$61:$C$125,'Option inputs'!$C$14,T$61:T$125)*'Option inputs'!$F19*T$55+SUMIF($AN$61:$AN$125,$C133,BE$61:BE$125)-SUMIF($AN$61:$AN$125,'Option inputs'!$C$14,BE$61:BE$125)*'Option inputs'!$F19*T$55</f>
        <v>0</v>
      </c>
      <c r="U133" s="17">
        <f>SUMIF($C$61:$C$125,$C133,U$61:U$125)-SUMIF($C$61:$C$125,'Option inputs'!$C$14,U$61:U$125)*'Option inputs'!$F19*U$55+SUMIF($AN$61:$AN$125,$C133,BF$61:BF$125)-SUMIF($AN$61:$AN$125,'Option inputs'!$C$14,BF$61:BF$125)*'Option inputs'!$F19*U$55</f>
        <v>0</v>
      </c>
      <c r="V133" s="17">
        <f>SUMIF($C$61:$C$125,$C133,V$61:V$125)-SUMIF($C$61:$C$125,'Option inputs'!$C$14,V$61:V$125)*'Option inputs'!$F19*V$55+SUMIF($AN$61:$AN$125,$C133,BG$61:BG$125)-SUMIF($AN$61:$AN$125,'Option inputs'!$C$14,BG$61:BG$125)*'Option inputs'!$F19*V$55</f>
        <v>0</v>
      </c>
      <c r="W133" s="17">
        <f>SUMIF($C$61:$C$125,$C133,W$61:W$125)-SUMIF($C$61:$C$125,'Option inputs'!$C$14,W$61:W$125)*'Option inputs'!$F19*W$55+SUMIF($AN$61:$AN$125,$C133,BH$61:BH$125)-SUMIF($AN$61:$AN$125,'Option inputs'!$C$14,BH$61:BH$125)*'Option inputs'!$F19*W$55</f>
        <v>0</v>
      </c>
      <c r="X133" s="17">
        <f>SUMIF($C$61:$C$125,$C133,X$61:X$125)-SUMIF($C$61:$C$125,'Option inputs'!$C$14,X$61:X$125)*'Option inputs'!$F19*X$55+SUMIF($AN$61:$AN$125,$C133,BI$61:BI$125)-SUMIF($AN$61:$AN$125,'Option inputs'!$C$14,BI$61:BI$125)*'Option inputs'!$F19*X$55</f>
        <v>0</v>
      </c>
      <c r="Y133" s="17">
        <f>SUMIF($C$61:$C$125,$C133,Y$61:Y$125)-SUMIF($C$61:$C$125,'Option inputs'!$C$14,Y$61:Y$125)*'Option inputs'!$F19*Y$55+SUMIF($AN$61:$AN$125,$C133,BJ$61:BJ$125)-SUMIF($AN$61:$AN$125,'Option inputs'!$C$14,BJ$61:BJ$125)*'Option inputs'!$F19*Y$55</f>
        <v>0</v>
      </c>
      <c r="Z133" s="17">
        <f>SUMIF($C$61:$C$125,$C133,Z$61:Z$125)-SUMIF($C$61:$C$125,'Option inputs'!$C$14,Z$61:Z$125)*'Option inputs'!$F19*Z$55+SUMIF($AN$61:$AN$125,$C133,BK$61:BK$125)-SUMIF($AN$61:$AN$125,'Option inputs'!$C$14,BK$61:BK$125)*'Option inputs'!$F19*Z$55</f>
        <v>0</v>
      </c>
      <c r="AA133" s="17">
        <f>SUMIF($C$61:$C$125,$C133,AA$61:AA$125)-SUMIF($C$61:$C$125,'Option inputs'!$C$14,AA$61:AA$125)*'Option inputs'!$F19*AA$55+SUMIF($AN$61:$AN$125,$C133,BL$61:BL$125)-SUMIF($AN$61:$AN$125,'Option inputs'!$C$14,BL$61:BL$125)*'Option inputs'!$F19*AA$55</f>
        <v>0</v>
      </c>
      <c r="AB133" s="17">
        <f>SUMIF($C$61:$C$125,$C133,AB$61:AB$125)-SUMIF($C$61:$C$125,'Option inputs'!$C$14,AB$61:AB$125)*'Option inputs'!$F19*AB$55+SUMIF($AN$61:$AN$125,$C133,BM$61:BM$125)-SUMIF($AN$61:$AN$125,'Option inputs'!$C$14,BM$61:BM$125)*'Option inputs'!$F19*AB$55</f>
        <v>0</v>
      </c>
      <c r="AC133" s="17">
        <f>SUMIF($C$61:$C$125,$C133,AC$61:AC$125)-SUMIF($C$61:$C$125,'Option inputs'!$C$14,AC$61:AC$125)*'Option inputs'!$F19*AC$55+SUMIF($AN$61:$AN$125,$C133,BN$61:BN$125)-SUMIF($AN$61:$AN$125,'Option inputs'!$C$14,BN$61:BN$125)*'Option inputs'!$F19*AC$55</f>
        <v>0</v>
      </c>
      <c r="AD133" s="17">
        <f>SUMIF($C$61:$C$125,$C133,AD$61:AD$125)-SUMIF($C$61:$C$125,'Option inputs'!$C$14,AD$61:AD$125)*'Option inputs'!$F19*AD$55+SUMIF($AN$61:$AN$125,$C133,BO$61:BO$125)-SUMIF($AN$61:$AN$125,'Option inputs'!$C$14,BO$61:BO$125)*'Option inputs'!$F19*AD$55</f>
        <v>0</v>
      </c>
      <c r="AE133" s="17">
        <f>SUMIF($C$61:$C$125,$C133,AE$61:AE$125)-SUMIF($C$61:$C$125,'Option inputs'!$C$14,AE$61:AE$125)*'Option inputs'!$F19*AE$55+SUMIF($AN$61:$AN$125,$C133,BP$61:BP$125)-SUMIF($AN$61:$AN$125,'Option inputs'!$C$14,BP$61:BP$125)*'Option inputs'!$F19*AE$55</f>
        <v>0</v>
      </c>
      <c r="AF133" s="17">
        <f>SUMIF($C$61:$C$125,$C133,AF$61:AF$125)-SUMIF($C$61:$C$125,'Option inputs'!$C$14,AF$61:AF$125)*'Option inputs'!$F19*AF$55+SUMIF($AN$61:$AN$125,$C133,BQ$61:BQ$125)-SUMIF($AN$61:$AN$125,'Option inputs'!$C$14,BQ$61:BQ$125)*'Option inputs'!$F19*AF$55</f>
        <v>914125000</v>
      </c>
      <c r="AG133" s="17">
        <f>SUMIF($C$61:$C$125,$C133,AG$61:AG$125)-SUMIF($C$61:$C$125,'Option inputs'!$C$14,AG$61:AG$125)*'Option inputs'!$F19*AG$55+SUMIF($AN$61:$AN$125,$C133,BR$61:BR$125)-SUMIF($AN$61:$AN$125,'Option inputs'!$C$14,BR$61:BR$125)*'Option inputs'!$F19*AG$55</f>
        <v>0</v>
      </c>
      <c r="AH133" s="17">
        <f>SUMIF($C$61:$C$125,$C133,AH$61:AH$125)-SUMIF($C$61:$C$125,'Option inputs'!$C$14,AH$61:AH$125)*'Option inputs'!$F19*AH$55+SUMIF($AN$61:$AN$125,$C133,BS$61:BS$125)-SUMIF($AN$61:$AN$125,'Option inputs'!$C$14,BS$61:BS$125)*'Option inputs'!$F19*AH$55</f>
        <v>0</v>
      </c>
      <c r="AI133" s="17">
        <f>SUMIF($C$61:$C$125,$C133,AI$61:AI$125)-SUMIF($C$61:$C$125,'Option inputs'!$C$14,AI$61:AI$125)*'Option inputs'!$F19*AI$55+SUMIF($AN$61:$AN$125,$C133,BT$61:BT$125)-SUMIF($AN$61:$AN$125,'Option inputs'!$C$14,BT$61:BT$125)*'Option inputs'!$F19*AI$55</f>
        <v>0</v>
      </c>
      <c r="AJ133" s="17">
        <f>SUMIF($C$61:$C$125,$C133,AJ$61:AJ$125)-SUMIF($C$61:$C$125,'Option inputs'!$C$14,AJ$61:AJ$125)*'Option inputs'!$F19*AJ$55+SUMIF($AN$61:$AN$125,$C133,BU$61:BU$125)-SUMIF($AN$61:$AN$125,'Option inputs'!$C$14,BU$61:BU$125)*'Option inputs'!$F19*AJ$55</f>
        <v>0</v>
      </c>
    </row>
    <row r="134" spans="2:36" x14ac:dyDescent="0.35">
      <c r="B134" s="9">
        <f>+'Option inputs'!$B$20</f>
        <v>6</v>
      </c>
      <c r="C134" s="14" t="str">
        <f>+'Option inputs'!$C$20</f>
        <v>Option 2C</v>
      </c>
      <c r="D134" s="26"/>
      <c r="E134" s="12" t="s">
        <v>35</v>
      </c>
      <c r="F134" s="18">
        <f t="shared" si="39"/>
        <v>-1020058372.5500923</v>
      </c>
      <c r="G134" s="17">
        <f>SUMIF($C$61:$C$125,$C134,G$61:G$125)-SUMIF($C$61:$C$125,'Option inputs'!$C$14,G$61:G$125)*'Option inputs'!$F20*G$55+SUMIF($AN$61:$AN$125,$C134,AR$61:AR$125)-SUMIF($AN$61:$AN$125,'Option inputs'!$C$14,AR$61:AR$125)*'Option inputs'!$F20*G$55</f>
        <v>0</v>
      </c>
      <c r="H134" s="17">
        <f>SUMIF($C$61:$C$125,$C134,H$61:H$125)-SUMIF($C$61:$C$125,'Option inputs'!$C$14,H$61:H$125)*'Option inputs'!$F20*H$55+SUMIF($AN$61:$AN$125,$C134,AS$61:AS$125)-SUMIF($AN$61:$AN$125,'Option inputs'!$C$14,AS$61:AS$125)*'Option inputs'!$F20*H$55</f>
        <v>-346750000</v>
      </c>
      <c r="I134" s="17">
        <f>SUMIF($C$61:$C$125,$C134,I$61:I$125)-SUMIF($C$61:$C$125,'Option inputs'!$C$14,I$61:I$125)*'Option inputs'!$F20*I$55+SUMIF($AN$61:$AN$125,$C134,AT$61:AT$125)-SUMIF($AN$61:$AN$125,'Option inputs'!$C$14,AT$61:AT$125)*'Option inputs'!$F20*I$55</f>
        <v>-346750000</v>
      </c>
      <c r="J134" s="17">
        <f>SUMIF($C$61:$C$125,$C134,J$61:J$125)-SUMIF($C$61:$C$125,'Option inputs'!$C$14,J$61:J$125)*'Option inputs'!$F20*J$55+SUMIF($AN$61:$AN$125,$C134,AU$61:AU$125)-SUMIF($AN$61:$AN$125,'Option inputs'!$C$14,AU$61:AU$125)*'Option inputs'!$F20*J$55</f>
        <v>-346750000</v>
      </c>
      <c r="K134" s="17">
        <f>SUMIF($C$61:$C$125,$C134,K$61:K$125)-SUMIF($C$61:$C$125,'Option inputs'!$C$14,K$61:K$125)*'Option inputs'!$F20*K$55+SUMIF($AN$61:$AN$125,$C134,AV$61:AV$125)-SUMIF($AN$61:$AN$125,'Option inputs'!$C$14,AV$61:AV$125)*'Option inputs'!$F20*K$55</f>
        <v>-346750000</v>
      </c>
      <c r="L134" s="17">
        <f>SUMIF($C$61:$C$125,$C134,L$61:L$125)-SUMIF($C$61:$C$125,'Option inputs'!$C$14,L$61:L$125)*'Option inputs'!$F20*L$55+SUMIF($AN$61:$AN$125,$C134,AW$61:AW$125)-SUMIF($AN$61:$AN$125,'Option inputs'!$C$14,AW$61:AW$125)*'Option inputs'!$F20*L$55</f>
        <v>0</v>
      </c>
      <c r="M134" s="17">
        <f>SUMIF($C$61:$C$125,$C134,M$61:M$125)-SUMIF($C$61:$C$125,'Option inputs'!$C$14,M$61:M$125)*'Option inputs'!$F20*M$55+SUMIF($AN$61:$AN$125,$C134,AX$61:AX$125)-SUMIF($AN$61:$AN$125,'Option inputs'!$C$14,AX$61:AX$125)*'Option inputs'!$F20*M$55</f>
        <v>0</v>
      </c>
      <c r="N134" s="17">
        <f>SUMIF($C$61:$C$125,$C134,N$61:N$125)-SUMIF($C$61:$C$125,'Option inputs'!$C$14,N$61:N$125)*'Option inputs'!$F20*N$55+SUMIF($AN$61:$AN$125,$C134,AY$61:AY$125)-SUMIF($AN$61:$AN$125,'Option inputs'!$C$14,AY$61:AY$125)*'Option inputs'!$F20*N$55</f>
        <v>0</v>
      </c>
      <c r="O134" s="17">
        <f>SUMIF($C$61:$C$125,$C134,O$61:O$125)-SUMIF($C$61:$C$125,'Option inputs'!$C$14,O$61:O$125)*'Option inputs'!$F20*O$55+SUMIF($AN$61:$AN$125,$C134,AZ$61:AZ$125)-SUMIF($AN$61:$AN$125,'Option inputs'!$C$14,AZ$61:AZ$125)*'Option inputs'!$F20*O$55</f>
        <v>0</v>
      </c>
      <c r="P134" s="17">
        <f>SUMIF($C$61:$C$125,$C134,P$61:P$125)-SUMIF($C$61:$C$125,'Option inputs'!$C$14,P$61:P$125)*'Option inputs'!$F20*P$55+SUMIF($AN$61:$AN$125,$C134,BA$61:BA$125)-SUMIF($AN$61:$AN$125,'Option inputs'!$C$14,BA$61:BA$125)*'Option inputs'!$F20*P$55</f>
        <v>0</v>
      </c>
      <c r="Q134" s="17">
        <f>SUMIF($C$61:$C$125,$C134,Q$61:Q$125)-SUMIF($C$61:$C$125,'Option inputs'!$C$14,Q$61:Q$125)*'Option inputs'!$F20*Q$55+SUMIF($AN$61:$AN$125,$C134,BB$61:BB$125)-SUMIF($AN$61:$AN$125,'Option inputs'!$C$14,BB$61:BB$125)*'Option inputs'!$F20*Q$55</f>
        <v>0</v>
      </c>
      <c r="R134" s="17">
        <f>SUMIF($C$61:$C$125,$C134,R$61:R$125)-SUMIF($C$61:$C$125,'Option inputs'!$C$14,R$61:R$125)*'Option inputs'!$F20*R$55+SUMIF($AN$61:$AN$125,$C134,BC$61:BC$125)-SUMIF($AN$61:$AN$125,'Option inputs'!$C$14,BC$61:BC$125)*'Option inputs'!$F20*R$55</f>
        <v>0</v>
      </c>
      <c r="S134" s="17">
        <f>SUMIF($C$61:$C$125,$C134,S$61:S$125)-SUMIF($C$61:$C$125,'Option inputs'!$C$14,S$61:S$125)*'Option inputs'!$F20*S$55+SUMIF($AN$61:$AN$125,$C134,BD$61:BD$125)-SUMIF($AN$61:$AN$125,'Option inputs'!$C$14,BD$61:BD$125)*'Option inputs'!$F20*S$55</f>
        <v>0</v>
      </c>
      <c r="T134" s="17">
        <f>SUMIF($C$61:$C$125,$C134,T$61:T$125)-SUMIF($C$61:$C$125,'Option inputs'!$C$14,T$61:T$125)*'Option inputs'!$F20*T$55+SUMIF($AN$61:$AN$125,$C134,BE$61:BE$125)-SUMIF($AN$61:$AN$125,'Option inputs'!$C$14,BE$61:BE$125)*'Option inputs'!$F20*T$55</f>
        <v>0</v>
      </c>
      <c r="U134" s="17">
        <f>SUMIF($C$61:$C$125,$C134,U$61:U$125)-SUMIF($C$61:$C$125,'Option inputs'!$C$14,U$61:U$125)*'Option inputs'!$F20*U$55+SUMIF($AN$61:$AN$125,$C134,BF$61:BF$125)-SUMIF($AN$61:$AN$125,'Option inputs'!$C$14,BF$61:BF$125)*'Option inputs'!$F20*U$55</f>
        <v>0</v>
      </c>
      <c r="V134" s="17">
        <f>SUMIF($C$61:$C$125,$C134,V$61:V$125)-SUMIF($C$61:$C$125,'Option inputs'!$C$14,V$61:V$125)*'Option inputs'!$F20*V$55+SUMIF($AN$61:$AN$125,$C134,BG$61:BG$125)-SUMIF($AN$61:$AN$125,'Option inputs'!$C$14,BG$61:BG$125)*'Option inputs'!$F20*V$55</f>
        <v>0</v>
      </c>
      <c r="W134" s="17">
        <f>SUMIF($C$61:$C$125,$C134,W$61:W$125)-SUMIF($C$61:$C$125,'Option inputs'!$C$14,W$61:W$125)*'Option inputs'!$F20*W$55+SUMIF($AN$61:$AN$125,$C134,BH$61:BH$125)-SUMIF($AN$61:$AN$125,'Option inputs'!$C$14,BH$61:BH$125)*'Option inputs'!$F20*W$55</f>
        <v>0</v>
      </c>
      <c r="X134" s="17">
        <f>SUMIF($C$61:$C$125,$C134,X$61:X$125)-SUMIF($C$61:$C$125,'Option inputs'!$C$14,X$61:X$125)*'Option inputs'!$F20*X$55+SUMIF($AN$61:$AN$125,$C134,BI$61:BI$125)-SUMIF($AN$61:$AN$125,'Option inputs'!$C$14,BI$61:BI$125)*'Option inputs'!$F20*X$55</f>
        <v>0</v>
      </c>
      <c r="Y134" s="17">
        <f>SUMIF($C$61:$C$125,$C134,Y$61:Y$125)-SUMIF($C$61:$C$125,'Option inputs'!$C$14,Y$61:Y$125)*'Option inputs'!$F20*Y$55+SUMIF($AN$61:$AN$125,$C134,BJ$61:BJ$125)-SUMIF($AN$61:$AN$125,'Option inputs'!$C$14,BJ$61:BJ$125)*'Option inputs'!$F20*Y$55</f>
        <v>0</v>
      </c>
      <c r="Z134" s="17">
        <f>SUMIF($C$61:$C$125,$C134,Z$61:Z$125)-SUMIF($C$61:$C$125,'Option inputs'!$C$14,Z$61:Z$125)*'Option inputs'!$F20*Z$55+SUMIF($AN$61:$AN$125,$C134,BK$61:BK$125)-SUMIF($AN$61:$AN$125,'Option inputs'!$C$14,BK$61:BK$125)*'Option inputs'!$F20*Z$55</f>
        <v>0</v>
      </c>
      <c r="AA134" s="17">
        <f>SUMIF($C$61:$C$125,$C134,AA$61:AA$125)-SUMIF($C$61:$C$125,'Option inputs'!$C$14,AA$61:AA$125)*'Option inputs'!$F20*AA$55+SUMIF($AN$61:$AN$125,$C134,BL$61:BL$125)-SUMIF($AN$61:$AN$125,'Option inputs'!$C$14,BL$61:BL$125)*'Option inputs'!$F20*AA$55</f>
        <v>0</v>
      </c>
      <c r="AB134" s="17">
        <f>SUMIF($C$61:$C$125,$C134,AB$61:AB$125)-SUMIF($C$61:$C$125,'Option inputs'!$C$14,AB$61:AB$125)*'Option inputs'!$F20*AB$55+SUMIF($AN$61:$AN$125,$C134,BM$61:BM$125)-SUMIF($AN$61:$AN$125,'Option inputs'!$C$14,BM$61:BM$125)*'Option inputs'!$F20*AB$55</f>
        <v>0</v>
      </c>
      <c r="AC134" s="17">
        <f>SUMIF($C$61:$C$125,$C134,AC$61:AC$125)-SUMIF($C$61:$C$125,'Option inputs'!$C$14,AC$61:AC$125)*'Option inputs'!$F20*AC$55+SUMIF($AN$61:$AN$125,$C134,BN$61:BN$125)-SUMIF($AN$61:$AN$125,'Option inputs'!$C$14,BN$61:BN$125)*'Option inputs'!$F20*AC$55</f>
        <v>0</v>
      </c>
      <c r="AD134" s="17">
        <f>SUMIF($C$61:$C$125,$C134,AD$61:AD$125)-SUMIF($C$61:$C$125,'Option inputs'!$C$14,AD$61:AD$125)*'Option inputs'!$F20*AD$55+SUMIF($AN$61:$AN$125,$C134,BO$61:BO$125)-SUMIF($AN$61:$AN$125,'Option inputs'!$C$14,BO$61:BO$125)*'Option inputs'!$F20*AD$55</f>
        <v>0</v>
      </c>
      <c r="AE134" s="17">
        <f>SUMIF($C$61:$C$125,$C134,AE$61:AE$125)-SUMIF($C$61:$C$125,'Option inputs'!$C$14,AE$61:AE$125)*'Option inputs'!$F20*AE$55+SUMIF($AN$61:$AN$125,$C134,BP$61:BP$125)-SUMIF($AN$61:$AN$125,'Option inputs'!$C$14,BP$61:BP$125)*'Option inputs'!$F20*AE$55</f>
        <v>0</v>
      </c>
      <c r="AF134" s="17">
        <f>SUMIF($C$61:$C$125,$C134,AF$61:AF$125)-SUMIF($C$61:$C$125,'Option inputs'!$C$14,AF$61:AF$125)*'Option inputs'!$F20*AF$55+SUMIF($AN$61:$AN$125,$C134,BQ$61:BQ$125)-SUMIF($AN$61:$AN$125,'Option inputs'!$C$14,BQ$61:BQ$125)*'Option inputs'!$F20*AF$55</f>
        <v>772225000</v>
      </c>
      <c r="AG134" s="17">
        <f>SUMIF($C$61:$C$125,$C134,AG$61:AG$125)-SUMIF($C$61:$C$125,'Option inputs'!$C$14,AG$61:AG$125)*'Option inputs'!$F20*AG$55+SUMIF($AN$61:$AN$125,$C134,BR$61:BR$125)-SUMIF($AN$61:$AN$125,'Option inputs'!$C$14,BR$61:BR$125)*'Option inputs'!$F20*AG$55</f>
        <v>0</v>
      </c>
      <c r="AH134" s="17">
        <f>SUMIF($C$61:$C$125,$C134,AH$61:AH$125)-SUMIF($C$61:$C$125,'Option inputs'!$C$14,AH$61:AH$125)*'Option inputs'!$F20*AH$55+SUMIF($AN$61:$AN$125,$C134,BS$61:BS$125)-SUMIF($AN$61:$AN$125,'Option inputs'!$C$14,BS$61:BS$125)*'Option inputs'!$F20*AH$55</f>
        <v>0</v>
      </c>
      <c r="AI134" s="17">
        <f>SUMIF($C$61:$C$125,$C134,AI$61:AI$125)-SUMIF($C$61:$C$125,'Option inputs'!$C$14,AI$61:AI$125)*'Option inputs'!$F20*AI$55+SUMIF($AN$61:$AN$125,$C134,BT$61:BT$125)-SUMIF($AN$61:$AN$125,'Option inputs'!$C$14,BT$61:BT$125)*'Option inputs'!$F20*AI$55</f>
        <v>0</v>
      </c>
      <c r="AJ134" s="17">
        <f>SUMIF($C$61:$C$125,$C134,AJ$61:AJ$125)-SUMIF($C$61:$C$125,'Option inputs'!$C$14,AJ$61:AJ$125)*'Option inputs'!$F20*AJ$55+SUMIF($AN$61:$AN$125,$C134,BU$61:BU$125)-SUMIF($AN$61:$AN$125,'Option inputs'!$C$14,BU$61:BU$125)*'Option inputs'!$F20*AJ$55</f>
        <v>0</v>
      </c>
    </row>
    <row r="135" spans="2:36" x14ac:dyDescent="0.35">
      <c r="B135" s="9">
        <f>+'Option inputs'!$B$21</f>
        <v>7</v>
      </c>
      <c r="C135" s="14" t="str">
        <f>+'Option inputs'!$C$21</f>
        <v>Option 3A</v>
      </c>
      <c r="D135" s="26"/>
      <c r="E135" s="12" t="s">
        <v>35</v>
      </c>
      <c r="F135" s="18">
        <f t="shared" si="39"/>
        <v>-743397847.89989901</v>
      </c>
      <c r="G135" s="17">
        <f>SUMIF($C$61:$C$125,$C135,G$61:G$125)-SUMIF($C$61:$C$125,'Option inputs'!$C$14,G$61:G$125)*'Option inputs'!$F21*G$55+SUMIF($AN$61:$AN$125,$C135,AR$61:AR$125)-SUMIF($AN$61:$AN$125,'Option inputs'!$C$14,AR$61:AR$125)*'Option inputs'!$F21*G$55</f>
        <v>0</v>
      </c>
      <c r="H135" s="17">
        <f>SUMIF($C$61:$C$125,$C135,H$61:H$125)-SUMIF($C$61:$C$125,'Option inputs'!$C$14,H$61:H$125)*'Option inputs'!$F21*H$55+SUMIF($AN$61:$AN$125,$C135,AS$61:AS$125)-SUMIF($AN$61:$AN$125,'Option inputs'!$C$14,AS$61:AS$125)*'Option inputs'!$F21*H$55</f>
        <v>-253500000</v>
      </c>
      <c r="I135" s="17">
        <f>SUMIF($C$61:$C$125,$C135,I$61:I$125)-SUMIF($C$61:$C$125,'Option inputs'!$C$14,I$61:I$125)*'Option inputs'!$F21*I$55+SUMIF($AN$61:$AN$125,$C135,AT$61:AT$125)-SUMIF($AN$61:$AN$125,'Option inputs'!$C$14,AT$61:AT$125)*'Option inputs'!$F21*I$55</f>
        <v>-253500000</v>
      </c>
      <c r="J135" s="17">
        <f>SUMIF($C$61:$C$125,$C135,J$61:J$125)-SUMIF($C$61:$C$125,'Option inputs'!$C$14,J$61:J$125)*'Option inputs'!$F21*J$55+SUMIF($AN$61:$AN$125,$C135,AU$61:AU$125)-SUMIF($AN$61:$AN$125,'Option inputs'!$C$14,AU$61:AU$125)*'Option inputs'!$F21*J$55</f>
        <v>-253500000</v>
      </c>
      <c r="K135" s="17">
        <f>SUMIF($C$61:$C$125,$C135,K$61:K$125)-SUMIF($C$61:$C$125,'Option inputs'!$C$14,K$61:K$125)*'Option inputs'!$F21*K$55+SUMIF($AN$61:$AN$125,$C135,AV$61:AV$125)-SUMIF($AN$61:$AN$125,'Option inputs'!$C$14,AV$61:AV$125)*'Option inputs'!$F21*K$55</f>
        <v>-253500000</v>
      </c>
      <c r="L135" s="17">
        <f>SUMIF($C$61:$C$125,$C135,L$61:L$125)-SUMIF($C$61:$C$125,'Option inputs'!$C$14,L$61:L$125)*'Option inputs'!$F21*L$55+SUMIF($AN$61:$AN$125,$C135,AW$61:AW$125)-SUMIF($AN$61:$AN$125,'Option inputs'!$C$14,AW$61:AW$125)*'Option inputs'!$F21*L$55</f>
        <v>0</v>
      </c>
      <c r="M135" s="17">
        <f>SUMIF($C$61:$C$125,$C135,M$61:M$125)-SUMIF($C$61:$C$125,'Option inputs'!$C$14,M$61:M$125)*'Option inputs'!$F21*M$55+SUMIF($AN$61:$AN$125,$C135,AX$61:AX$125)-SUMIF($AN$61:$AN$125,'Option inputs'!$C$14,AX$61:AX$125)*'Option inputs'!$F21*M$55</f>
        <v>0</v>
      </c>
      <c r="N135" s="17">
        <f>SUMIF($C$61:$C$125,$C135,N$61:N$125)-SUMIF($C$61:$C$125,'Option inputs'!$C$14,N$61:N$125)*'Option inputs'!$F21*N$55+SUMIF($AN$61:$AN$125,$C135,AY$61:AY$125)-SUMIF($AN$61:$AN$125,'Option inputs'!$C$14,AY$61:AY$125)*'Option inputs'!$F21*N$55</f>
        <v>0</v>
      </c>
      <c r="O135" s="17">
        <f>SUMIF($C$61:$C$125,$C135,O$61:O$125)-SUMIF($C$61:$C$125,'Option inputs'!$C$14,O$61:O$125)*'Option inputs'!$F21*O$55+SUMIF($AN$61:$AN$125,$C135,AZ$61:AZ$125)-SUMIF($AN$61:$AN$125,'Option inputs'!$C$14,AZ$61:AZ$125)*'Option inputs'!$F21*O$55</f>
        <v>0</v>
      </c>
      <c r="P135" s="17">
        <f>SUMIF($C$61:$C$125,$C135,P$61:P$125)-SUMIF($C$61:$C$125,'Option inputs'!$C$14,P$61:P$125)*'Option inputs'!$F21*P$55+SUMIF($AN$61:$AN$125,$C135,BA$61:BA$125)-SUMIF($AN$61:$AN$125,'Option inputs'!$C$14,BA$61:BA$125)*'Option inputs'!$F21*P$55</f>
        <v>0</v>
      </c>
      <c r="Q135" s="17">
        <f>SUMIF($C$61:$C$125,$C135,Q$61:Q$125)-SUMIF($C$61:$C$125,'Option inputs'!$C$14,Q$61:Q$125)*'Option inputs'!$F21*Q$55+SUMIF($AN$61:$AN$125,$C135,BB$61:BB$125)-SUMIF($AN$61:$AN$125,'Option inputs'!$C$14,BB$61:BB$125)*'Option inputs'!$F21*Q$55</f>
        <v>0</v>
      </c>
      <c r="R135" s="17">
        <f>SUMIF($C$61:$C$125,$C135,R$61:R$125)-SUMIF($C$61:$C$125,'Option inputs'!$C$14,R$61:R$125)*'Option inputs'!$F21*R$55+SUMIF($AN$61:$AN$125,$C135,BC$61:BC$125)-SUMIF($AN$61:$AN$125,'Option inputs'!$C$14,BC$61:BC$125)*'Option inputs'!$F21*R$55</f>
        <v>0</v>
      </c>
      <c r="S135" s="17">
        <f>SUMIF($C$61:$C$125,$C135,S$61:S$125)-SUMIF($C$61:$C$125,'Option inputs'!$C$14,S$61:S$125)*'Option inputs'!$F21*S$55+SUMIF($AN$61:$AN$125,$C135,BD$61:BD$125)-SUMIF($AN$61:$AN$125,'Option inputs'!$C$14,BD$61:BD$125)*'Option inputs'!$F21*S$55</f>
        <v>0</v>
      </c>
      <c r="T135" s="17">
        <f>SUMIF($C$61:$C$125,$C135,T$61:T$125)-SUMIF($C$61:$C$125,'Option inputs'!$C$14,T$61:T$125)*'Option inputs'!$F21*T$55+SUMIF($AN$61:$AN$125,$C135,BE$61:BE$125)-SUMIF($AN$61:$AN$125,'Option inputs'!$C$14,BE$61:BE$125)*'Option inputs'!$F21*T$55</f>
        <v>0</v>
      </c>
      <c r="U135" s="17">
        <f>SUMIF($C$61:$C$125,$C135,U$61:U$125)-SUMIF($C$61:$C$125,'Option inputs'!$C$14,U$61:U$125)*'Option inputs'!$F21*U$55+SUMIF($AN$61:$AN$125,$C135,BF$61:BF$125)-SUMIF($AN$61:$AN$125,'Option inputs'!$C$14,BF$61:BF$125)*'Option inputs'!$F21*U$55</f>
        <v>0</v>
      </c>
      <c r="V135" s="17">
        <f>SUMIF($C$61:$C$125,$C135,V$61:V$125)-SUMIF($C$61:$C$125,'Option inputs'!$C$14,V$61:V$125)*'Option inputs'!$F21*V$55+SUMIF($AN$61:$AN$125,$C135,BG$61:BG$125)-SUMIF($AN$61:$AN$125,'Option inputs'!$C$14,BG$61:BG$125)*'Option inputs'!$F21*V$55</f>
        <v>0</v>
      </c>
      <c r="W135" s="17">
        <f>SUMIF($C$61:$C$125,$C135,W$61:W$125)-SUMIF($C$61:$C$125,'Option inputs'!$C$14,W$61:W$125)*'Option inputs'!$F21*W$55+SUMIF($AN$61:$AN$125,$C135,BH$61:BH$125)-SUMIF($AN$61:$AN$125,'Option inputs'!$C$14,BH$61:BH$125)*'Option inputs'!$F21*W$55</f>
        <v>0</v>
      </c>
      <c r="X135" s="17">
        <f>SUMIF($C$61:$C$125,$C135,X$61:X$125)-SUMIF($C$61:$C$125,'Option inputs'!$C$14,X$61:X$125)*'Option inputs'!$F21*X$55+SUMIF($AN$61:$AN$125,$C135,BI$61:BI$125)-SUMIF($AN$61:$AN$125,'Option inputs'!$C$14,BI$61:BI$125)*'Option inputs'!$F21*X$55</f>
        <v>0</v>
      </c>
      <c r="Y135" s="17">
        <f>SUMIF($C$61:$C$125,$C135,Y$61:Y$125)-SUMIF($C$61:$C$125,'Option inputs'!$C$14,Y$61:Y$125)*'Option inputs'!$F21*Y$55+SUMIF($AN$61:$AN$125,$C135,BJ$61:BJ$125)-SUMIF($AN$61:$AN$125,'Option inputs'!$C$14,BJ$61:BJ$125)*'Option inputs'!$F21*Y$55</f>
        <v>0</v>
      </c>
      <c r="Z135" s="17">
        <f>SUMIF($C$61:$C$125,$C135,Z$61:Z$125)-SUMIF($C$61:$C$125,'Option inputs'!$C$14,Z$61:Z$125)*'Option inputs'!$F21*Z$55+SUMIF($AN$61:$AN$125,$C135,BK$61:BK$125)-SUMIF($AN$61:$AN$125,'Option inputs'!$C$14,BK$61:BK$125)*'Option inputs'!$F21*Z$55</f>
        <v>0</v>
      </c>
      <c r="AA135" s="17">
        <f>SUMIF($C$61:$C$125,$C135,AA$61:AA$125)-SUMIF($C$61:$C$125,'Option inputs'!$C$14,AA$61:AA$125)*'Option inputs'!$F21*AA$55+SUMIF($AN$61:$AN$125,$C135,BL$61:BL$125)-SUMIF($AN$61:$AN$125,'Option inputs'!$C$14,BL$61:BL$125)*'Option inputs'!$F21*AA$55</f>
        <v>0</v>
      </c>
      <c r="AB135" s="17">
        <f>SUMIF($C$61:$C$125,$C135,AB$61:AB$125)-SUMIF($C$61:$C$125,'Option inputs'!$C$14,AB$61:AB$125)*'Option inputs'!$F21*AB$55+SUMIF($AN$61:$AN$125,$C135,BM$61:BM$125)-SUMIF($AN$61:$AN$125,'Option inputs'!$C$14,BM$61:BM$125)*'Option inputs'!$F21*AB$55</f>
        <v>0</v>
      </c>
      <c r="AC135" s="17">
        <f>SUMIF($C$61:$C$125,$C135,AC$61:AC$125)-SUMIF($C$61:$C$125,'Option inputs'!$C$14,AC$61:AC$125)*'Option inputs'!$F21*AC$55+SUMIF($AN$61:$AN$125,$C135,BN$61:BN$125)-SUMIF($AN$61:$AN$125,'Option inputs'!$C$14,BN$61:BN$125)*'Option inputs'!$F21*AC$55</f>
        <v>0</v>
      </c>
      <c r="AD135" s="17">
        <f>SUMIF($C$61:$C$125,$C135,AD$61:AD$125)-SUMIF($C$61:$C$125,'Option inputs'!$C$14,AD$61:AD$125)*'Option inputs'!$F21*AD$55+SUMIF($AN$61:$AN$125,$C135,BO$61:BO$125)-SUMIF($AN$61:$AN$125,'Option inputs'!$C$14,BO$61:BO$125)*'Option inputs'!$F21*AD$55</f>
        <v>0</v>
      </c>
      <c r="AE135" s="17">
        <f>SUMIF($C$61:$C$125,$C135,AE$61:AE$125)-SUMIF($C$61:$C$125,'Option inputs'!$C$14,AE$61:AE$125)*'Option inputs'!$F21*AE$55+SUMIF($AN$61:$AN$125,$C135,BP$61:BP$125)-SUMIF($AN$61:$AN$125,'Option inputs'!$C$14,BP$61:BP$125)*'Option inputs'!$F21*AE$55</f>
        <v>0</v>
      </c>
      <c r="AF135" s="17">
        <f>SUMIF($C$61:$C$125,$C135,AF$61:AF$125)-SUMIF($C$61:$C$125,'Option inputs'!$C$14,AF$61:AF$125)*'Option inputs'!$F21*AF$55+SUMIF($AN$61:$AN$125,$C135,BQ$61:BQ$125)-SUMIF($AN$61:$AN$125,'Option inputs'!$C$14,BQ$61:BQ$125)*'Option inputs'!$F21*AF$55</f>
        <v>574365000</v>
      </c>
      <c r="AG135" s="17">
        <f>SUMIF($C$61:$C$125,$C135,AG$61:AG$125)-SUMIF($C$61:$C$125,'Option inputs'!$C$14,AG$61:AG$125)*'Option inputs'!$F21*AG$55+SUMIF($AN$61:$AN$125,$C135,BR$61:BR$125)-SUMIF($AN$61:$AN$125,'Option inputs'!$C$14,BR$61:BR$125)*'Option inputs'!$F21*AG$55</f>
        <v>0</v>
      </c>
      <c r="AH135" s="17">
        <f>SUMIF($C$61:$C$125,$C135,AH$61:AH$125)-SUMIF($C$61:$C$125,'Option inputs'!$C$14,AH$61:AH$125)*'Option inputs'!$F21*AH$55+SUMIF($AN$61:$AN$125,$C135,BS$61:BS$125)-SUMIF($AN$61:$AN$125,'Option inputs'!$C$14,BS$61:BS$125)*'Option inputs'!$F21*AH$55</f>
        <v>0</v>
      </c>
      <c r="AI135" s="17">
        <f>SUMIF($C$61:$C$125,$C135,AI$61:AI$125)-SUMIF($C$61:$C$125,'Option inputs'!$C$14,AI$61:AI$125)*'Option inputs'!$F21*AI$55+SUMIF($AN$61:$AN$125,$C135,BT$61:BT$125)-SUMIF($AN$61:$AN$125,'Option inputs'!$C$14,BT$61:BT$125)*'Option inputs'!$F21*AI$55</f>
        <v>0</v>
      </c>
      <c r="AJ135" s="17">
        <f>SUMIF($C$61:$C$125,$C135,AJ$61:AJ$125)-SUMIF($C$61:$C$125,'Option inputs'!$C$14,AJ$61:AJ$125)*'Option inputs'!$F21*AJ$55+SUMIF($AN$61:$AN$125,$C135,BU$61:BU$125)-SUMIF($AN$61:$AN$125,'Option inputs'!$C$14,BU$61:BU$125)*'Option inputs'!$F21*AJ$55</f>
        <v>0</v>
      </c>
    </row>
    <row r="136" spans="2:36" x14ac:dyDescent="0.35">
      <c r="B136" s="9">
        <f>+'Option inputs'!$B$22</f>
        <v>8</v>
      </c>
      <c r="C136" s="14" t="str">
        <f>+'Option inputs'!$C$22</f>
        <v>Option 3B</v>
      </c>
      <c r="D136" s="26"/>
      <c r="E136" s="12" t="s">
        <v>35</v>
      </c>
      <c r="F136" s="18">
        <f t="shared" si="39"/>
        <v>-975780767.98467314</v>
      </c>
      <c r="G136" s="17">
        <f>SUMIF($C$61:$C$125,$C136,G$61:G$125)-SUMIF($C$61:$C$125,'Option inputs'!$C$14,G$61:G$125)*'Option inputs'!$F22*G$55+SUMIF($AN$61:$AN$125,$C136,AR$61:AR$125)-SUMIF($AN$61:$AN$125,'Option inputs'!$C$14,AR$61:AR$125)*'Option inputs'!$F22*G$55</f>
        <v>0</v>
      </c>
      <c r="H136" s="17">
        <f>SUMIF($C$61:$C$125,$C136,H$61:H$125)-SUMIF($C$61:$C$125,'Option inputs'!$C$14,H$61:H$125)*'Option inputs'!$F22*H$55+SUMIF($AN$61:$AN$125,$C136,AS$61:AS$125)-SUMIF($AN$61:$AN$125,'Option inputs'!$C$14,AS$61:AS$125)*'Option inputs'!$F22*H$55</f>
        <v>-305250000</v>
      </c>
      <c r="I136" s="17">
        <f>SUMIF($C$61:$C$125,$C136,I$61:I$125)-SUMIF($C$61:$C$125,'Option inputs'!$C$14,I$61:I$125)*'Option inputs'!$F22*I$55+SUMIF($AN$61:$AN$125,$C136,AT$61:AT$125)-SUMIF($AN$61:$AN$125,'Option inputs'!$C$14,AT$61:AT$125)*'Option inputs'!$F22*I$55</f>
        <v>-305250000</v>
      </c>
      <c r="J136" s="17">
        <f>SUMIF($C$61:$C$125,$C136,J$61:J$125)-SUMIF($C$61:$C$125,'Option inputs'!$C$14,J$61:J$125)*'Option inputs'!$F22*J$55+SUMIF($AN$61:$AN$125,$C136,AU$61:AU$125)-SUMIF($AN$61:$AN$125,'Option inputs'!$C$14,AU$61:AU$125)*'Option inputs'!$F22*J$55</f>
        <v>-305250000</v>
      </c>
      <c r="K136" s="17">
        <f>SUMIF($C$61:$C$125,$C136,K$61:K$125)-SUMIF($C$61:$C$125,'Option inputs'!$C$14,K$61:K$125)*'Option inputs'!$F22*K$55+SUMIF($AN$61:$AN$125,$C136,AV$61:AV$125)-SUMIF($AN$61:$AN$125,'Option inputs'!$C$14,AV$61:AV$125)*'Option inputs'!$F22*K$55</f>
        <v>-305250000</v>
      </c>
      <c r="L136" s="17">
        <f>SUMIF($C$61:$C$125,$C136,L$61:L$125)-SUMIF($C$61:$C$125,'Option inputs'!$C$14,L$61:L$125)*'Option inputs'!$F22*L$55+SUMIF($AN$61:$AN$125,$C136,AW$61:AW$125)-SUMIF($AN$61:$AN$125,'Option inputs'!$C$14,AW$61:AW$125)*'Option inputs'!$F22*L$55</f>
        <v>0</v>
      </c>
      <c r="M136" s="17">
        <f>SUMIF($C$61:$C$125,$C136,M$61:M$125)-SUMIF($C$61:$C$125,'Option inputs'!$C$14,M$61:M$125)*'Option inputs'!$F22*M$55+SUMIF($AN$61:$AN$125,$C136,AX$61:AX$125)-SUMIF($AN$61:$AN$125,'Option inputs'!$C$14,AX$61:AX$125)*'Option inputs'!$F22*M$55</f>
        <v>0</v>
      </c>
      <c r="N136" s="17">
        <f>SUMIF($C$61:$C$125,$C136,N$61:N$125)-SUMIF($C$61:$C$125,'Option inputs'!$C$14,N$61:N$125)*'Option inputs'!$F22*N$55+SUMIF($AN$61:$AN$125,$C136,AY$61:AY$125)-SUMIF($AN$61:$AN$125,'Option inputs'!$C$14,AY$61:AY$125)*'Option inputs'!$F22*N$55</f>
        <v>-55333333.333333336</v>
      </c>
      <c r="O136" s="17">
        <f>SUMIF($C$61:$C$125,$C136,O$61:O$125)-SUMIF($C$61:$C$125,'Option inputs'!$C$14,O$61:O$125)*'Option inputs'!$F22*O$55+SUMIF($AN$61:$AN$125,$C136,AZ$61:AZ$125)-SUMIF($AN$61:$AN$125,'Option inputs'!$C$14,AZ$61:AZ$125)*'Option inputs'!$F22*O$55</f>
        <v>-55333333.333333336</v>
      </c>
      <c r="P136" s="17">
        <f>SUMIF($C$61:$C$125,$C136,P$61:P$125)-SUMIF($C$61:$C$125,'Option inputs'!$C$14,P$61:P$125)*'Option inputs'!$F22*P$55+SUMIF($AN$61:$AN$125,$C136,BA$61:BA$125)-SUMIF($AN$61:$AN$125,'Option inputs'!$C$14,BA$61:BA$125)*'Option inputs'!$F22*P$55</f>
        <v>-55333333.333333336</v>
      </c>
      <c r="Q136" s="17">
        <f>SUMIF($C$61:$C$125,$C136,Q$61:Q$125)-SUMIF($C$61:$C$125,'Option inputs'!$C$14,Q$61:Q$125)*'Option inputs'!$F22*Q$55+SUMIF($AN$61:$AN$125,$C136,BB$61:BB$125)-SUMIF($AN$61:$AN$125,'Option inputs'!$C$14,BB$61:BB$125)*'Option inputs'!$F22*Q$55</f>
        <v>0</v>
      </c>
      <c r="R136" s="17">
        <f>SUMIF($C$61:$C$125,$C136,R$61:R$125)-SUMIF($C$61:$C$125,'Option inputs'!$C$14,R$61:R$125)*'Option inputs'!$F22*R$55+SUMIF($AN$61:$AN$125,$C136,BC$61:BC$125)-SUMIF($AN$61:$AN$125,'Option inputs'!$C$14,BC$61:BC$125)*'Option inputs'!$F22*R$55</f>
        <v>0</v>
      </c>
      <c r="S136" s="17">
        <f>SUMIF($C$61:$C$125,$C136,S$61:S$125)-SUMIF($C$61:$C$125,'Option inputs'!$C$14,S$61:S$125)*'Option inputs'!$F22*S$55+SUMIF($AN$61:$AN$125,$C136,BD$61:BD$125)-SUMIF($AN$61:$AN$125,'Option inputs'!$C$14,BD$61:BD$125)*'Option inputs'!$F22*S$55</f>
        <v>0</v>
      </c>
      <c r="T136" s="17">
        <f>SUMIF($C$61:$C$125,$C136,T$61:T$125)-SUMIF($C$61:$C$125,'Option inputs'!$C$14,T$61:T$125)*'Option inputs'!$F22*T$55+SUMIF($AN$61:$AN$125,$C136,BE$61:BE$125)-SUMIF($AN$61:$AN$125,'Option inputs'!$C$14,BE$61:BE$125)*'Option inputs'!$F22*T$55</f>
        <v>0</v>
      </c>
      <c r="U136" s="17">
        <f>SUMIF($C$61:$C$125,$C136,U$61:U$125)-SUMIF($C$61:$C$125,'Option inputs'!$C$14,U$61:U$125)*'Option inputs'!$F22*U$55+SUMIF($AN$61:$AN$125,$C136,BF$61:BF$125)-SUMIF($AN$61:$AN$125,'Option inputs'!$C$14,BF$61:BF$125)*'Option inputs'!$F22*U$55</f>
        <v>0</v>
      </c>
      <c r="V136" s="17">
        <f>SUMIF($C$61:$C$125,$C136,V$61:V$125)-SUMIF($C$61:$C$125,'Option inputs'!$C$14,V$61:V$125)*'Option inputs'!$F22*V$55+SUMIF($AN$61:$AN$125,$C136,BG$61:BG$125)-SUMIF($AN$61:$AN$125,'Option inputs'!$C$14,BG$61:BG$125)*'Option inputs'!$F22*V$55</f>
        <v>0</v>
      </c>
      <c r="W136" s="17">
        <f>SUMIF($C$61:$C$125,$C136,W$61:W$125)-SUMIF($C$61:$C$125,'Option inputs'!$C$14,W$61:W$125)*'Option inputs'!$F22*W$55+SUMIF($AN$61:$AN$125,$C136,BH$61:BH$125)-SUMIF($AN$61:$AN$125,'Option inputs'!$C$14,BH$61:BH$125)*'Option inputs'!$F22*W$55</f>
        <v>0</v>
      </c>
      <c r="X136" s="17">
        <f>SUMIF($C$61:$C$125,$C136,X$61:X$125)-SUMIF($C$61:$C$125,'Option inputs'!$C$14,X$61:X$125)*'Option inputs'!$F22*X$55+SUMIF($AN$61:$AN$125,$C136,BI$61:BI$125)-SUMIF($AN$61:$AN$125,'Option inputs'!$C$14,BI$61:BI$125)*'Option inputs'!$F22*X$55</f>
        <v>0</v>
      </c>
      <c r="Y136" s="17">
        <f>SUMIF($C$61:$C$125,$C136,Y$61:Y$125)-SUMIF($C$61:$C$125,'Option inputs'!$C$14,Y$61:Y$125)*'Option inputs'!$F22*Y$55+SUMIF($AN$61:$AN$125,$C136,BJ$61:BJ$125)-SUMIF($AN$61:$AN$125,'Option inputs'!$C$14,BJ$61:BJ$125)*'Option inputs'!$F22*Y$55</f>
        <v>0</v>
      </c>
      <c r="Z136" s="17">
        <f>SUMIF($C$61:$C$125,$C136,Z$61:Z$125)-SUMIF($C$61:$C$125,'Option inputs'!$C$14,Z$61:Z$125)*'Option inputs'!$F22*Z$55+SUMIF($AN$61:$AN$125,$C136,BK$61:BK$125)-SUMIF($AN$61:$AN$125,'Option inputs'!$C$14,BK$61:BK$125)*'Option inputs'!$F22*Z$55</f>
        <v>0</v>
      </c>
      <c r="AA136" s="17">
        <f>SUMIF($C$61:$C$125,$C136,AA$61:AA$125)-SUMIF($C$61:$C$125,'Option inputs'!$C$14,AA$61:AA$125)*'Option inputs'!$F22*AA$55+SUMIF($AN$61:$AN$125,$C136,BL$61:BL$125)-SUMIF($AN$61:$AN$125,'Option inputs'!$C$14,BL$61:BL$125)*'Option inputs'!$F22*AA$55</f>
        <v>0</v>
      </c>
      <c r="AB136" s="17">
        <f>SUMIF($C$61:$C$125,$C136,AB$61:AB$125)-SUMIF($C$61:$C$125,'Option inputs'!$C$14,AB$61:AB$125)*'Option inputs'!$F22*AB$55+SUMIF($AN$61:$AN$125,$C136,BM$61:BM$125)-SUMIF($AN$61:$AN$125,'Option inputs'!$C$14,BM$61:BM$125)*'Option inputs'!$F22*AB$55</f>
        <v>0</v>
      </c>
      <c r="AC136" s="17">
        <f>SUMIF($C$61:$C$125,$C136,AC$61:AC$125)-SUMIF($C$61:$C$125,'Option inputs'!$C$14,AC$61:AC$125)*'Option inputs'!$F22*AC$55+SUMIF($AN$61:$AN$125,$C136,BN$61:BN$125)-SUMIF($AN$61:$AN$125,'Option inputs'!$C$14,BN$61:BN$125)*'Option inputs'!$F22*AC$55</f>
        <v>0</v>
      </c>
      <c r="AD136" s="17">
        <f>SUMIF($C$61:$C$125,$C136,AD$61:AD$125)-SUMIF($C$61:$C$125,'Option inputs'!$C$14,AD$61:AD$125)*'Option inputs'!$F22*AD$55+SUMIF($AN$61:$AN$125,$C136,BO$61:BO$125)-SUMIF($AN$61:$AN$125,'Option inputs'!$C$14,BO$61:BO$125)*'Option inputs'!$F22*AD$55</f>
        <v>0</v>
      </c>
      <c r="AE136" s="17">
        <f>SUMIF($C$61:$C$125,$C136,AE$61:AE$125)-SUMIF($C$61:$C$125,'Option inputs'!$C$14,AE$61:AE$125)*'Option inputs'!$F22*AE$55+SUMIF($AN$61:$AN$125,$C136,BP$61:BP$125)-SUMIF($AN$61:$AN$125,'Option inputs'!$C$14,BP$61:BP$125)*'Option inputs'!$F22*AE$55</f>
        <v>0</v>
      </c>
      <c r="AF136" s="17">
        <f>SUMIF($C$61:$C$125,$C136,AF$61:AF$125)-SUMIF($C$61:$C$125,'Option inputs'!$C$14,AF$61:AF$125)*'Option inputs'!$F22*AF$55+SUMIF($AN$61:$AN$125,$C136,BQ$61:BQ$125)-SUMIF($AN$61:$AN$125,'Option inputs'!$C$14,BQ$61:BQ$125)*'Option inputs'!$F22*AF$55</f>
        <v>794025000</v>
      </c>
      <c r="AG136" s="17">
        <f>SUMIF($C$61:$C$125,$C136,AG$61:AG$125)-SUMIF($C$61:$C$125,'Option inputs'!$C$14,AG$61:AG$125)*'Option inputs'!$F22*AG$55+SUMIF($AN$61:$AN$125,$C136,BR$61:BR$125)-SUMIF($AN$61:$AN$125,'Option inputs'!$C$14,BR$61:BR$125)*'Option inputs'!$F22*AG$55</f>
        <v>0</v>
      </c>
      <c r="AH136" s="17">
        <f>SUMIF($C$61:$C$125,$C136,AH$61:AH$125)-SUMIF($C$61:$C$125,'Option inputs'!$C$14,AH$61:AH$125)*'Option inputs'!$F22*AH$55+SUMIF($AN$61:$AN$125,$C136,BS$61:BS$125)-SUMIF($AN$61:$AN$125,'Option inputs'!$C$14,BS$61:BS$125)*'Option inputs'!$F22*AH$55</f>
        <v>0</v>
      </c>
      <c r="AI136" s="17">
        <f>SUMIF($C$61:$C$125,$C136,AI$61:AI$125)-SUMIF($C$61:$C$125,'Option inputs'!$C$14,AI$61:AI$125)*'Option inputs'!$F22*AI$55+SUMIF($AN$61:$AN$125,$C136,BT$61:BT$125)-SUMIF($AN$61:$AN$125,'Option inputs'!$C$14,BT$61:BT$125)*'Option inputs'!$F22*AI$55</f>
        <v>0</v>
      </c>
      <c r="AJ136" s="17">
        <f>SUMIF($C$61:$C$125,$C136,AJ$61:AJ$125)-SUMIF($C$61:$C$125,'Option inputs'!$C$14,AJ$61:AJ$125)*'Option inputs'!$F22*AJ$55+SUMIF($AN$61:$AN$125,$C136,BU$61:BU$125)-SUMIF($AN$61:$AN$125,'Option inputs'!$C$14,BU$61:BU$125)*'Option inputs'!$F22*AJ$55</f>
        <v>0</v>
      </c>
    </row>
    <row r="137" spans="2:36" x14ac:dyDescent="0.35">
      <c r="B137" s="9">
        <f>+'Option inputs'!$B$23</f>
        <v>9</v>
      </c>
      <c r="C137" s="14" t="str">
        <f>+'Option inputs'!$C$23</f>
        <v>Option 3C</v>
      </c>
      <c r="D137" s="26"/>
      <c r="E137" s="12" t="s">
        <v>35</v>
      </c>
      <c r="F137" s="18">
        <f t="shared" si="39"/>
        <v>-995649583.27654338</v>
      </c>
      <c r="G137" s="17">
        <f>SUMIF($C$61:$C$125,$C137,G$61:G$125)-SUMIF($C$61:$C$125,'Option inputs'!$C$14,G$61:G$125)*'Option inputs'!$F23*G$55+SUMIF($AN$61:$AN$125,$C137,AR$61:AR$125)-SUMIF($AN$61:$AN$125,'Option inputs'!$C$14,AR$61:AR$125)*'Option inputs'!$F23*G$55</f>
        <v>0</v>
      </c>
      <c r="H137" s="17">
        <f>SUMIF($C$61:$C$125,$C137,H$61:H$125)-SUMIF($C$61:$C$125,'Option inputs'!$C$14,H$61:H$125)*'Option inputs'!$F23*H$55+SUMIF($AN$61:$AN$125,$C137,AS$61:AS$125)-SUMIF($AN$61:$AN$125,'Option inputs'!$C$14,AS$61:AS$125)*'Option inputs'!$F23*H$55</f>
        <v>-338750000</v>
      </c>
      <c r="I137" s="17">
        <f>SUMIF($C$61:$C$125,$C137,I$61:I$125)-SUMIF($C$61:$C$125,'Option inputs'!$C$14,I$61:I$125)*'Option inputs'!$F23*I$55+SUMIF($AN$61:$AN$125,$C137,AT$61:AT$125)-SUMIF($AN$61:$AN$125,'Option inputs'!$C$14,AT$61:AT$125)*'Option inputs'!$F23*I$55</f>
        <v>-338750000</v>
      </c>
      <c r="J137" s="17">
        <f>SUMIF($C$61:$C$125,$C137,J$61:J$125)-SUMIF($C$61:$C$125,'Option inputs'!$C$14,J$61:J$125)*'Option inputs'!$F23*J$55+SUMIF($AN$61:$AN$125,$C137,AU$61:AU$125)-SUMIF($AN$61:$AN$125,'Option inputs'!$C$14,AU$61:AU$125)*'Option inputs'!$F23*J$55</f>
        <v>-338750000</v>
      </c>
      <c r="K137" s="17">
        <f>SUMIF($C$61:$C$125,$C137,K$61:K$125)-SUMIF($C$61:$C$125,'Option inputs'!$C$14,K$61:K$125)*'Option inputs'!$F23*K$55+SUMIF($AN$61:$AN$125,$C137,AV$61:AV$125)-SUMIF($AN$61:$AN$125,'Option inputs'!$C$14,AV$61:AV$125)*'Option inputs'!$F23*K$55</f>
        <v>-338750000</v>
      </c>
      <c r="L137" s="17">
        <f>SUMIF($C$61:$C$125,$C137,L$61:L$125)-SUMIF($C$61:$C$125,'Option inputs'!$C$14,L$61:L$125)*'Option inputs'!$F23*L$55+SUMIF($AN$61:$AN$125,$C137,AW$61:AW$125)-SUMIF($AN$61:$AN$125,'Option inputs'!$C$14,AW$61:AW$125)*'Option inputs'!$F23*L$55</f>
        <v>0</v>
      </c>
      <c r="M137" s="17">
        <f>SUMIF($C$61:$C$125,$C137,M$61:M$125)-SUMIF($C$61:$C$125,'Option inputs'!$C$14,M$61:M$125)*'Option inputs'!$F23*M$55+SUMIF($AN$61:$AN$125,$C137,AX$61:AX$125)-SUMIF($AN$61:$AN$125,'Option inputs'!$C$14,AX$61:AX$125)*'Option inputs'!$F23*M$55</f>
        <v>0</v>
      </c>
      <c r="N137" s="17">
        <f>SUMIF($C$61:$C$125,$C137,N$61:N$125)-SUMIF($C$61:$C$125,'Option inputs'!$C$14,N$61:N$125)*'Option inputs'!$F23*N$55+SUMIF($AN$61:$AN$125,$C137,AY$61:AY$125)-SUMIF($AN$61:$AN$125,'Option inputs'!$C$14,AY$61:AY$125)*'Option inputs'!$F23*N$55</f>
        <v>0</v>
      </c>
      <c r="O137" s="17">
        <f>SUMIF($C$61:$C$125,$C137,O$61:O$125)-SUMIF($C$61:$C$125,'Option inputs'!$C$14,O$61:O$125)*'Option inputs'!$F23*O$55+SUMIF($AN$61:$AN$125,$C137,AZ$61:AZ$125)-SUMIF($AN$61:$AN$125,'Option inputs'!$C$14,AZ$61:AZ$125)*'Option inputs'!$F23*O$55</f>
        <v>0</v>
      </c>
      <c r="P137" s="17">
        <f>SUMIF($C$61:$C$125,$C137,P$61:P$125)-SUMIF($C$61:$C$125,'Option inputs'!$C$14,P$61:P$125)*'Option inputs'!$F23*P$55+SUMIF($AN$61:$AN$125,$C137,BA$61:BA$125)-SUMIF($AN$61:$AN$125,'Option inputs'!$C$14,BA$61:BA$125)*'Option inputs'!$F23*P$55</f>
        <v>0</v>
      </c>
      <c r="Q137" s="17">
        <f>SUMIF($C$61:$C$125,$C137,Q$61:Q$125)-SUMIF($C$61:$C$125,'Option inputs'!$C$14,Q$61:Q$125)*'Option inputs'!$F23*Q$55+SUMIF($AN$61:$AN$125,$C137,BB$61:BB$125)-SUMIF($AN$61:$AN$125,'Option inputs'!$C$14,BB$61:BB$125)*'Option inputs'!$F23*Q$55</f>
        <v>0</v>
      </c>
      <c r="R137" s="17">
        <f>SUMIF($C$61:$C$125,$C137,R$61:R$125)-SUMIF($C$61:$C$125,'Option inputs'!$C$14,R$61:R$125)*'Option inputs'!$F23*R$55+SUMIF($AN$61:$AN$125,$C137,BC$61:BC$125)-SUMIF($AN$61:$AN$125,'Option inputs'!$C$14,BC$61:BC$125)*'Option inputs'!$F23*R$55</f>
        <v>0</v>
      </c>
      <c r="S137" s="17">
        <f>SUMIF($C$61:$C$125,$C137,S$61:S$125)-SUMIF($C$61:$C$125,'Option inputs'!$C$14,S$61:S$125)*'Option inputs'!$F23*S$55+SUMIF($AN$61:$AN$125,$C137,BD$61:BD$125)-SUMIF($AN$61:$AN$125,'Option inputs'!$C$14,BD$61:BD$125)*'Option inputs'!$F23*S$55</f>
        <v>0</v>
      </c>
      <c r="T137" s="17">
        <f>SUMIF($C$61:$C$125,$C137,T$61:T$125)-SUMIF($C$61:$C$125,'Option inputs'!$C$14,T$61:T$125)*'Option inputs'!$F23*T$55+SUMIF($AN$61:$AN$125,$C137,BE$61:BE$125)-SUMIF($AN$61:$AN$125,'Option inputs'!$C$14,BE$61:BE$125)*'Option inputs'!$F23*T$55</f>
        <v>0</v>
      </c>
      <c r="U137" s="17">
        <f>SUMIF($C$61:$C$125,$C137,U$61:U$125)-SUMIF($C$61:$C$125,'Option inputs'!$C$14,U$61:U$125)*'Option inputs'!$F23*U$55+SUMIF($AN$61:$AN$125,$C137,BF$61:BF$125)-SUMIF($AN$61:$AN$125,'Option inputs'!$C$14,BF$61:BF$125)*'Option inputs'!$F23*U$55</f>
        <v>0</v>
      </c>
      <c r="V137" s="17">
        <f>SUMIF($C$61:$C$125,$C137,V$61:V$125)-SUMIF($C$61:$C$125,'Option inputs'!$C$14,V$61:V$125)*'Option inputs'!$F23*V$55+SUMIF($AN$61:$AN$125,$C137,BG$61:BG$125)-SUMIF($AN$61:$AN$125,'Option inputs'!$C$14,BG$61:BG$125)*'Option inputs'!$F23*V$55</f>
        <v>0</v>
      </c>
      <c r="W137" s="17">
        <f>SUMIF($C$61:$C$125,$C137,W$61:W$125)-SUMIF($C$61:$C$125,'Option inputs'!$C$14,W$61:W$125)*'Option inputs'!$F23*W$55+SUMIF($AN$61:$AN$125,$C137,BH$61:BH$125)-SUMIF($AN$61:$AN$125,'Option inputs'!$C$14,BH$61:BH$125)*'Option inputs'!$F23*W$55</f>
        <v>0</v>
      </c>
      <c r="X137" s="17">
        <f>SUMIF($C$61:$C$125,$C137,X$61:X$125)-SUMIF($C$61:$C$125,'Option inputs'!$C$14,X$61:X$125)*'Option inputs'!$F23*X$55+SUMIF($AN$61:$AN$125,$C137,BI$61:BI$125)-SUMIF($AN$61:$AN$125,'Option inputs'!$C$14,BI$61:BI$125)*'Option inputs'!$F23*X$55</f>
        <v>0</v>
      </c>
      <c r="Y137" s="17">
        <f>SUMIF($C$61:$C$125,$C137,Y$61:Y$125)-SUMIF($C$61:$C$125,'Option inputs'!$C$14,Y$61:Y$125)*'Option inputs'!$F23*Y$55+SUMIF($AN$61:$AN$125,$C137,BJ$61:BJ$125)-SUMIF($AN$61:$AN$125,'Option inputs'!$C$14,BJ$61:BJ$125)*'Option inputs'!$F23*Y$55</f>
        <v>0</v>
      </c>
      <c r="Z137" s="17">
        <f>SUMIF($C$61:$C$125,$C137,Z$61:Z$125)-SUMIF($C$61:$C$125,'Option inputs'!$C$14,Z$61:Z$125)*'Option inputs'!$F23*Z$55+SUMIF($AN$61:$AN$125,$C137,BK$61:BK$125)-SUMIF($AN$61:$AN$125,'Option inputs'!$C$14,BK$61:BK$125)*'Option inputs'!$F23*Z$55</f>
        <v>0</v>
      </c>
      <c r="AA137" s="17">
        <f>SUMIF($C$61:$C$125,$C137,AA$61:AA$125)-SUMIF($C$61:$C$125,'Option inputs'!$C$14,AA$61:AA$125)*'Option inputs'!$F23*AA$55+SUMIF($AN$61:$AN$125,$C137,BL$61:BL$125)-SUMIF($AN$61:$AN$125,'Option inputs'!$C$14,BL$61:BL$125)*'Option inputs'!$F23*AA$55</f>
        <v>0</v>
      </c>
      <c r="AB137" s="17">
        <f>SUMIF($C$61:$C$125,$C137,AB$61:AB$125)-SUMIF($C$61:$C$125,'Option inputs'!$C$14,AB$61:AB$125)*'Option inputs'!$F23*AB$55+SUMIF($AN$61:$AN$125,$C137,BM$61:BM$125)-SUMIF($AN$61:$AN$125,'Option inputs'!$C$14,BM$61:BM$125)*'Option inputs'!$F23*AB$55</f>
        <v>0</v>
      </c>
      <c r="AC137" s="17">
        <f>SUMIF($C$61:$C$125,$C137,AC$61:AC$125)-SUMIF($C$61:$C$125,'Option inputs'!$C$14,AC$61:AC$125)*'Option inputs'!$F23*AC$55+SUMIF($AN$61:$AN$125,$C137,BN$61:BN$125)-SUMIF($AN$61:$AN$125,'Option inputs'!$C$14,BN$61:BN$125)*'Option inputs'!$F23*AC$55</f>
        <v>0</v>
      </c>
      <c r="AD137" s="17">
        <f>SUMIF($C$61:$C$125,$C137,AD$61:AD$125)-SUMIF($C$61:$C$125,'Option inputs'!$C$14,AD$61:AD$125)*'Option inputs'!$F23*AD$55+SUMIF($AN$61:$AN$125,$C137,BO$61:BO$125)-SUMIF($AN$61:$AN$125,'Option inputs'!$C$14,BO$61:BO$125)*'Option inputs'!$F23*AD$55</f>
        <v>0</v>
      </c>
      <c r="AE137" s="17">
        <f>SUMIF($C$61:$C$125,$C137,AE$61:AE$125)-SUMIF($C$61:$C$125,'Option inputs'!$C$14,AE$61:AE$125)*'Option inputs'!$F23*AE$55+SUMIF($AN$61:$AN$125,$C137,BP$61:BP$125)-SUMIF($AN$61:$AN$125,'Option inputs'!$C$14,BP$61:BP$125)*'Option inputs'!$F23*AE$55</f>
        <v>0</v>
      </c>
      <c r="AF137" s="17">
        <f>SUMIF($C$61:$C$125,$C137,AF$61:AF$125)-SUMIF($C$61:$C$125,'Option inputs'!$C$14,AF$61:AF$125)*'Option inputs'!$F23*AF$55+SUMIF($AN$61:$AN$125,$C137,BQ$61:BQ$125)-SUMIF($AN$61:$AN$125,'Option inputs'!$C$14,BQ$61:BQ$125)*'Option inputs'!$F23*AF$55</f>
        <v>758075000</v>
      </c>
      <c r="AG137" s="17">
        <f>SUMIF($C$61:$C$125,$C137,AG$61:AG$125)-SUMIF($C$61:$C$125,'Option inputs'!$C$14,AG$61:AG$125)*'Option inputs'!$F23*AG$55+SUMIF($AN$61:$AN$125,$C137,BR$61:BR$125)-SUMIF($AN$61:$AN$125,'Option inputs'!$C$14,BR$61:BR$125)*'Option inputs'!$F23*AG$55</f>
        <v>0</v>
      </c>
      <c r="AH137" s="17">
        <f>SUMIF($C$61:$C$125,$C137,AH$61:AH$125)-SUMIF($C$61:$C$125,'Option inputs'!$C$14,AH$61:AH$125)*'Option inputs'!$F23*AH$55+SUMIF($AN$61:$AN$125,$C137,BS$61:BS$125)-SUMIF($AN$61:$AN$125,'Option inputs'!$C$14,BS$61:BS$125)*'Option inputs'!$F23*AH$55</f>
        <v>0</v>
      </c>
      <c r="AI137" s="17">
        <f>SUMIF($C$61:$C$125,$C137,AI$61:AI$125)-SUMIF($C$61:$C$125,'Option inputs'!$C$14,AI$61:AI$125)*'Option inputs'!$F23*AI$55+SUMIF($AN$61:$AN$125,$C137,BT$61:BT$125)-SUMIF($AN$61:$AN$125,'Option inputs'!$C$14,BT$61:BT$125)*'Option inputs'!$F23*AI$55</f>
        <v>0</v>
      </c>
      <c r="AJ137" s="17">
        <f>SUMIF($C$61:$C$125,$C137,AJ$61:AJ$125)-SUMIF($C$61:$C$125,'Option inputs'!$C$14,AJ$61:AJ$125)*'Option inputs'!$F23*AJ$55+SUMIF($AN$61:$AN$125,$C137,BU$61:BU$125)-SUMIF($AN$61:$AN$125,'Option inputs'!$C$14,BU$61:BU$125)*'Option inputs'!$F23*AJ$55</f>
        <v>0</v>
      </c>
    </row>
    <row r="138" spans="2:36" x14ac:dyDescent="0.35">
      <c r="B138" s="9">
        <f>+'Option inputs'!$B$24</f>
        <v>10</v>
      </c>
      <c r="C138" s="14" t="str">
        <f>+'Option inputs'!$C$24</f>
        <v>Option 4A</v>
      </c>
      <c r="D138" s="26"/>
      <c r="E138" s="12" t="s">
        <v>35</v>
      </c>
      <c r="F138" s="18">
        <f t="shared" si="39"/>
        <v>-958245336.23637605</v>
      </c>
      <c r="G138" s="17">
        <f>SUMIF($C$61:$C$125,$C138,G$61:G$125)-SUMIF($C$61:$C$125,'Option inputs'!$C$14,G$61:G$125)*'Option inputs'!$F24*G$55+SUMIF($AN$61:$AN$125,$C138,AR$61:AR$125)-SUMIF($AN$61:$AN$125,'Option inputs'!$C$14,AR$61:AR$125)*'Option inputs'!$F24*G$55</f>
        <v>0</v>
      </c>
      <c r="H138" s="17">
        <f>SUMIF($C$61:$C$125,$C138,H$61:H$125)-SUMIF($C$61:$C$125,'Option inputs'!$C$14,H$61:H$125)*'Option inputs'!$F24*H$55+SUMIF($AN$61:$AN$125,$C138,AS$61:AS$125)-SUMIF($AN$61:$AN$125,'Option inputs'!$C$14,AS$61:AS$125)*'Option inputs'!$F24*H$55</f>
        <v>-253750000</v>
      </c>
      <c r="I138" s="17">
        <f>SUMIF($C$61:$C$125,$C138,I$61:I$125)-SUMIF($C$61:$C$125,'Option inputs'!$C$14,I$61:I$125)*'Option inputs'!$F24*I$55+SUMIF($AN$61:$AN$125,$C138,AT$61:AT$125)-SUMIF($AN$61:$AN$125,'Option inputs'!$C$14,AT$61:AT$125)*'Option inputs'!$F24*I$55</f>
        <v>-332750000</v>
      </c>
      <c r="J138" s="17">
        <f>SUMIF($C$61:$C$125,$C138,J$61:J$125)-SUMIF($C$61:$C$125,'Option inputs'!$C$14,J$61:J$125)*'Option inputs'!$F24*J$55+SUMIF($AN$61:$AN$125,$C138,AU$61:AU$125)-SUMIF($AN$61:$AN$125,'Option inputs'!$C$14,AU$61:AU$125)*'Option inputs'!$F24*J$55</f>
        <v>-332750000</v>
      </c>
      <c r="K138" s="17">
        <f>SUMIF($C$61:$C$125,$C138,K$61:K$125)-SUMIF($C$61:$C$125,'Option inputs'!$C$14,K$61:K$125)*'Option inputs'!$F24*K$55+SUMIF($AN$61:$AN$125,$C138,AV$61:AV$125)-SUMIF($AN$61:$AN$125,'Option inputs'!$C$14,AV$61:AV$125)*'Option inputs'!$F24*K$55</f>
        <v>-332750000</v>
      </c>
      <c r="L138" s="17">
        <f>SUMIF($C$61:$C$125,$C138,L$61:L$125)-SUMIF($C$61:$C$125,'Option inputs'!$C$14,L$61:L$125)*'Option inputs'!$F24*L$55+SUMIF($AN$61:$AN$125,$C138,AW$61:AW$125)-SUMIF($AN$61:$AN$125,'Option inputs'!$C$14,AW$61:AW$125)*'Option inputs'!$F24*L$55</f>
        <v>-79000000</v>
      </c>
      <c r="M138" s="17">
        <f>SUMIF($C$61:$C$125,$C138,M$61:M$125)-SUMIF($C$61:$C$125,'Option inputs'!$C$14,M$61:M$125)*'Option inputs'!$F24*M$55+SUMIF($AN$61:$AN$125,$C138,AX$61:AX$125)-SUMIF($AN$61:$AN$125,'Option inputs'!$C$14,AX$61:AX$125)*'Option inputs'!$F24*M$55</f>
        <v>0</v>
      </c>
      <c r="N138" s="17">
        <f>SUMIF($C$61:$C$125,$C138,N$61:N$125)-SUMIF($C$61:$C$125,'Option inputs'!$C$14,N$61:N$125)*'Option inputs'!$F24*N$55+SUMIF($AN$61:$AN$125,$C138,AY$61:AY$125)-SUMIF($AN$61:$AN$125,'Option inputs'!$C$14,AY$61:AY$125)*'Option inputs'!$F24*N$55</f>
        <v>0</v>
      </c>
      <c r="O138" s="17">
        <f>SUMIF($C$61:$C$125,$C138,O$61:O$125)-SUMIF($C$61:$C$125,'Option inputs'!$C$14,O$61:O$125)*'Option inputs'!$F24*O$55+SUMIF($AN$61:$AN$125,$C138,AZ$61:AZ$125)-SUMIF($AN$61:$AN$125,'Option inputs'!$C$14,AZ$61:AZ$125)*'Option inputs'!$F24*O$55</f>
        <v>0</v>
      </c>
      <c r="P138" s="17">
        <f>SUMIF($C$61:$C$125,$C138,P$61:P$125)-SUMIF($C$61:$C$125,'Option inputs'!$C$14,P$61:P$125)*'Option inputs'!$F24*P$55+SUMIF($AN$61:$AN$125,$C138,BA$61:BA$125)-SUMIF($AN$61:$AN$125,'Option inputs'!$C$14,BA$61:BA$125)*'Option inputs'!$F24*P$55</f>
        <v>0</v>
      </c>
      <c r="Q138" s="17">
        <f>SUMIF($C$61:$C$125,$C138,Q$61:Q$125)-SUMIF($C$61:$C$125,'Option inputs'!$C$14,Q$61:Q$125)*'Option inputs'!$F24*Q$55+SUMIF($AN$61:$AN$125,$C138,BB$61:BB$125)-SUMIF($AN$61:$AN$125,'Option inputs'!$C$14,BB$61:BB$125)*'Option inputs'!$F24*Q$55</f>
        <v>0</v>
      </c>
      <c r="R138" s="17">
        <f>SUMIF($C$61:$C$125,$C138,R$61:R$125)-SUMIF($C$61:$C$125,'Option inputs'!$C$14,R$61:R$125)*'Option inputs'!$F24*R$55+SUMIF($AN$61:$AN$125,$C138,BC$61:BC$125)-SUMIF($AN$61:$AN$125,'Option inputs'!$C$14,BC$61:BC$125)*'Option inputs'!$F24*R$55</f>
        <v>0</v>
      </c>
      <c r="S138" s="17">
        <f>SUMIF($C$61:$C$125,$C138,S$61:S$125)-SUMIF($C$61:$C$125,'Option inputs'!$C$14,S$61:S$125)*'Option inputs'!$F24*S$55+SUMIF($AN$61:$AN$125,$C138,BD$61:BD$125)-SUMIF($AN$61:$AN$125,'Option inputs'!$C$14,BD$61:BD$125)*'Option inputs'!$F24*S$55</f>
        <v>0</v>
      </c>
      <c r="T138" s="17">
        <f>SUMIF($C$61:$C$125,$C138,T$61:T$125)-SUMIF($C$61:$C$125,'Option inputs'!$C$14,T$61:T$125)*'Option inputs'!$F24*T$55+SUMIF($AN$61:$AN$125,$C138,BE$61:BE$125)-SUMIF($AN$61:$AN$125,'Option inputs'!$C$14,BE$61:BE$125)*'Option inputs'!$F24*T$55</f>
        <v>0</v>
      </c>
      <c r="U138" s="17">
        <f>SUMIF($C$61:$C$125,$C138,U$61:U$125)-SUMIF($C$61:$C$125,'Option inputs'!$C$14,U$61:U$125)*'Option inputs'!$F24*U$55+SUMIF($AN$61:$AN$125,$C138,BF$61:BF$125)-SUMIF($AN$61:$AN$125,'Option inputs'!$C$14,BF$61:BF$125)*'Option inputs'!$F24*U$55</f>
        <v>0</v>
      </c>
      <c r="V138" s="17">
        <f>SUMIF($C$61:$C$125,$C138,V$61:V$125)-SUMIF($C$61:$C$125,'Option inputs'!$C$14,V$61:V$125)*'Option inputs'!$F24*V$55+SUMIF($AN$61:$AN$125,$C138,BG$61:BG$125)-SUMIF($AN$61:$AN$125,'Option inputs'!$C$14,BG$61:BG$125)*'Option inputs'!$F24*V$55</f>
        <v>0</v>
      </c>
      <c r="W138" s="17">
        <f>SUMIF($C$61:$C$125,$C138,W$61:W$125)-SUMIF($C$61:$C$125,'Option inputs'!$C$14,W$61:W$125)*'Option inputs'!$F24*W$55+SUMIF($AN$61:$AN$125,$C138,BH$61:BH$125)-SUMIF($AN$61:$AN$125,'Option inputs'!$C$14,BH$61:BH$125)*'Option inputs'!$F24*W$55</f>
        <v>0</v>
      </c>
      <c r="X138" s="17">
        <f>SUMIF($C$61:$C$125,$C138,X$61:X$125)-SUMIF($C$61:$C$125,'Option inputs'!$C$14,X$61:X$125)*'Option inputs'!$F24*X$55+SUMIF($AN$61:$AN$125,$C138,BI$61:BI$125)-SUMIF($AN$61:$AN$125,'Option inputs'!$C$14,BI$61:BI$125)*'Option inputs'!$F24*X$55</f>
        <v>0</v>
      </c>
      <c r="Y138" s="17">
        <f>SUMIF($C$61:$C$125,$C138,Y$61:Y$125)-SUMIF($C$61:$C$125,'Option inputs'!$C$14,Y$61:Y$125)*'Option inputs'!$F24*Y$55+SUMIF($AN$61:$AN$125,$C138,BJ$61:BJ$125)-SUMIF($AN$61:$AN$125,'Option inputs'!$C$14,BJ$61:BJ$125)*'Option inputs'!$F24*Y$55</f>
        <v>0</v>
      </c>
      <c r="Z138" s="17">
        <f>SUMIF($C$61:$C$125,$C138,Z$61:Z$125)-SUMIF($C$61:$C$125,'Option inputs'!$C$14,Z$61:Z$125)*'Option inputs'!$F24*Z$55+SUMIF($AN$61:$AN$125,$C138,BK$61:BK$125)-SUMIF($AN$61:$AN$125,'Option inputs'!$C$14,BK$61:BK$125)*'Option inputs'!$F24*Z$55</f>
        <v>0</v>
      </c>
      <c r="AA138" s="17">
        <f>SUMIF($C$61:$C$125,$C138,AA$61:AA$125)-SUMIF($C$61:$C$125,'Option inputs'!$C$14,AA$61:AA$125)*'Option inputs'!$F24*AA$55+SUMIF($AN$61:$AN$125,$C138,BL$61:BL$125)-SUMIF($AN$61:$AN$125,'Option inputs'!$C$14,BL$61:BL$125)*'Option inputs'!$F24*AA$55</f>
        <v>0</v>
      </c>
      <c r="AB138" s="17">
        <f>SUMIF($C$61:$C$125,$C138,AB$61:AB$125)-SUMIF($C$61:$C$125,'Option inputs'!$C$14,AB$61:AB$125)*'Option inputs'!$F24*AB$55+SUMIF($AN$61:$AN$125,$C138,BM$61:BM$125)-SUMIF($AN$61:$AN$125,'Option inputs'!$C$14,BM$61:BM$125)*'Option inputs'!$F24*AB$55</f>
        <v>0</v>
      </c>
      <c r="AC138" s="17">
        <f>SUMIF($C$61:$C$125,$C138,AC$61:AC$125)-SUMIF($C$61:$C$125,'Option inputs'!$C$14,AC$61:AC$125)*'Option inputs'!$F24*AC$55+SUMIF($AN$61:$AN$125,$C138,BN$61:BN$125)-SUMIF($AN$61:$AN$125,'Option inputs'!$C$14,BN$61:BN$125)*'Option inputs'!$F24*AC$55</f>
        <v>0</v>
      </c>
      <c r="AD138" s="17">
        <f>SUMIF($C$61:$C$125,$C138,AD$61:AD$125)-SUMIF($C$61:$C$125,'Option inputs'!$C$14,AD$61:AD$125)*'Option inputs'!$F24*AD$55+SUMIF($AN$61:$AN$125,$C138,BO$61:BO$125)-SUMIF($AN$61:$AN$125,'Option inputs'!$C$14,BO$61:BO$125)*'Option inputs'!$F24*AD$55</f>
        <v>0</v>
      </c>
      <c r="AE138" s="17">
        <f>SUMIF($C$61:$C$125,$C138,AE$61:AE$125)-SUMIF($C$61:$C$125,'Option inputs'!$C$14,AE$61:AE$125)*'Option inputs'!$F24*AE$55+SUMIF($AN$61:$AN$125,$C138,BP$61:BP$125)-SUMIF($AN$61:$AN$125,'Option inputs'!$C$14,BP$61:BP$125)*'Option inputs'!$F24*AE$55</f>
        <v>0</v>
      </c>
      <c r="AF138" s="17">
        <f>SUMIF($C$61:$C$125,$C138,AF$61:AF$125)-SUMIF($C$61:$C$125,'Option inputs'!$C$14,AF$61:AF$125)*'Option inputs'!$F24*AF$55+SUMIF($AN$61:$AN$125,$C138,BQ$61:BQ$125)-SUMIF($AN$61:$AN$125,'Option inputs'!$C$14,BQ$61:BQ$125)*'Option inputs'!$F24*AF$55</f>
        <v>763440000</v>
      </c>
      <c r="AG138" s="17">
        <f>SUMIF($C$61:$C$125,$C138,AG$61:AG$125)-SUMIF($C$61:$C$125,'Option inputs'!$C$14,AG$61:AG$125)*'Option inputs'!$F24*AG$55+SUMIF($AN$61:$AN$125,$C138,BR$61:BR$125)-SUMIF($AN$61:$AN$125,'Option inputs'!$C$14,BR$61:BR$125)*'Option inputs'!$F24*AG$55</f>
        <v>0</v>
      </c>
      <c r="AH138" s="17">
        <f>SUMIF($C$61:$C$125,$C138,AH$61:AH$125)-SUMIF($C$61:$C$125,'Option inputs'!$C$14,AH$61:AH$125)*'Option inputs'!$F24*AH$55+SUMIF($AN$61:$AN$125,$C138,BS$61:BS$125)-SUMIF($AN$61:$AN$125,'Option inputs'!$C$14,BS$61:BS$125)*'Option inputs'!$F24*AH$55</f>
        <v>0</v>
      </c>
      <c r="AI138" s="17">
        <f>SUMIF($C$61:$C$125,$C138,AI$61:AI$125)-SUMIF($C$61:$C$125,'Option inputs'!$C$14,AI$61:AI$125)*'Option inputs'!$F24*AI$55+SUMIF($AN$61:$AN$125,$C138,BT$61:BT$125)-SUMIF($AN$61:$AN$125,'Option inputs'!$C$14,BT$61:BT$125)*'Option inputs'!$F24*AI$55</f>
        <v>0</v>
      </c>
      <c r="AJ138" s="17">
        <f>SUMIF($C$61:$C$125,$C138,AJ$61:AJ$125)-SUMIF($C$61:$C$125,'Option inputs'!$C$14,AJ$61:AJ$125)*'Option inputs'!$F24*AJ$55+SUMIF($AN$61:$AN$125,$C138,BU$61:BU$125)-SUMIF($AN$61:$AN$125,'Option inputs'!$C$14,BU$61:BU$125)*'Option inputs'!$F24*AJ$55</f>
        <v>0</v>
      </c>
    </row>
    <row r="139" spans="2:36" x14ac:dyDescent="0.35">
      <c r="B139" s="9">
        <f>+'Option inputs'!$B$25</f>
        <v>11</v>
      </c>
      <c r="C139" s="14" t="str">
        <f>+'Option inputs'!$C$25</f>
        <v>Option 4B</v>
      </c>
      <c r="D139" s="26"/>
      <c r="E139" s="12" t="s">
        <v>35</v>
      </c>
      <c r="F139" s="18">
        <f t="shared" si="39"/>
        <v>-1301672387.0653033</v>
      </c>
      <c r="G139" s="17">
        <f>SUMIF($C$61:$C$125,$C139,G$61:G$125)-SUMIF($C$61:$C$125,'Option inputs'!$C$14,G$61:G$125)*'Option inputs'!$F25*G$55+SUMIF($AN$61:$AN$125,$C139,AR$61:AR$125)-SUMIF($AN$61:$AN$125,'Option inputs'!$C$14,AR$61:AR$125)*'Option inputs'!$F25*G$55</f>
        <v>0</v>
      </c>
      <c r="H139" s="17">
        <f>SUMIF($C$61:$C$125,$C139,H$61:H$125)-SUMIF($C$61:$C$125,'Option inputs'!$C$14,H$61:H$125)*'Option inputs'!$F25*H$55+SUMIF($AN$61:$AN$125,$C139,AS$61:AS$125)-SUMIF($AN$61:$AN$125,'Option inputs'!$C$14,AS$61:AS$125)*'Option inputs'!$F25*H$55</f>
        <v>-305500000</v>
      </c>
      <c r="I139" s="17">
        <f>SUMIF($C$61:$C$125,$C139,I$61:I$125)-SUMIF($C$61:$C$125,'Option inputs'!$C$14,I$61:I$125)*'Option inputs'!$F25*I$55+SUMIF($AN$61:$AN$125,$C139,AT$61:AT$125)-SUMIF($AN$61:$AN$125,'Option inputs'!$C$14,AT$61:AT$125)*'Option inputs'!$F25*I$55</f>
        <v>-393500000</v>
      </c>
      <c r="J139" s="17">
        <f>SUMIF($C$61:$C$125,$C139,J$61:J$125)-SUMIF($C$61:$C$125,'Option inputs'!$C$14,J$61:J$125)*'Option inputs'!$F25*J$55+SUMIF($AN$61:$AN$125,$C139,AU$61:AU$125)-SUMIF($AN$61:$AN$125,'Option inputs'!$C$14,AU$61:AU$125)*'Option inputs'!$F25*J$55</f>
        <v>-393500000</v>
      </c>
      <c r="K139" s="17">
        <f>SUMIF($C$61:$C$125,$C139,K$61:K$125)-SUMIF($C$61:$C$125,'Option inputs'!$C$14,K$61:K$125)*'Option inputs'!$F25*K$55+SUMIF($AN$61:$AN$125,$C139,AV$61:AV$125)-SUMIF($AN$61:$AN$125,'Option inputs'!$C$14,AV$61:AV$125)*'Option inputs'!$F25*K$55</f>
        <v>-393500000</v>
      </c>
      <c r="L139" s="17">
        <f>SUMIF($C$61:$C$125,$C139,L$61:L$125)-SUMIF($C$61:$C$125,'Option inputs'!$C$14,L$61:L$125)*'Option inputs'!$F25*L$55+SUMIF($AN$61:$AN$125,$C139,AW$61:AW$125)-SUMIF($AN$61:$AN$125,'Option inputs'!$C$14,AW$61:AW$125)*'Option inputs'!$F25*L$55</f>
        <v>-88000000</v>
      </c>
      <c r="M139" s="17">
        <f>SUMIF($C$61:$C$125,$C139,M$61:M$125)-SUMIF($C$61:$C$125,'Option inputs'!$C$14,M$61:M$125)*'Option inputs'!$F25*M$55+SUMIF($AN$61:$AN$125,$C139,AX$61:AX$125)-SUMIF($AN$61:$AN$125,'Option inputs'!$C$14,AX$61:AX$125)*'Option inputs'!$F25*M$55</f>
        <v>0</v>
      </c>
      <c r="N139" s="17">
        <f>SUMIF($C$61:$C$125,$C139,N$61:N$125)-SUMIF($C$61:$C$125,'Option inputs'!$C$14,N$61:N$125)*'Option inputs'!$F25*N$55+SUMIF($AN$61:$AN$125,$C139,AY$61:AY$125)-SUMIF($AN$61:$AN$125,'Option inputs'!$C$14,AY$61:AY$125)*'Option inputs'!$F25*N$55</f>
        <v>-114333333.33333333</v>
      </c>
      <c r="O139" s="17">
        <f>SUMIF($C$61:$C$125,$C139,O$61:O$125)-SUMIF($C$61:$C$125,'Option inputs'!$C$14,O$61:O$125)*'Option inputs'!$F25*O$55+SUMIF($AN$61:$AN$125,$C139,AZ$61:AZ$125)-SUMIF($AN$61:$AN$125,'Option inputs'!$C$14,AZ$61:AZ$125)*'Option inputs'!$F25*O$55</f>
        <v>-114333333.33333333</v>
      </c>
      <c r="P139" s="17">
        <f>SUMIF($C$61:$C$125,$C139,P$61:P$125)-SUMIF($C$61:$C$125,'Option inputs'!$C$14,P$61:P$125)*'Option inputs'!$F25*P$55+SUMIF($AN$61:$AN$125,$C139,BA$61:BA$125)-SUMIF($AN$61:$AN$125,'Option inputs'!$C$14,BA$61:BA$125)*'Option inputs'!$F25*P$55</f>
        <v>-114333333.33333333</v>
      </c>
      <c r="Q139" s="17">
        <f>SUMIF($C$61:$C$125,$C139,Q$61:Q$125)-SUMIF($C$61:$C$125,'Option inputs'!$C$14,Q$61:Q$125)*'Option inputs'!$F25*Q$55+SUMIF($AN$61:$AN$125,$C139,BB$61:BB$125)-SUMIF($AN$61:$AN$125,'Option inputs'!$C$14,BB$61:BB$125)*'Option inputs'!$F25*Q$55</f>
        <v>0</v>
      </c>
      <c r="R139" s="17">
        <f>SUMIF($C$61:$C$125,$C139,R$61:R$125)-SUMIF($C$61:$C$125,'Option inputs'!$C$14,R$61:R$125)*'Option inputs'!$F25*R$55+SUMIF($AN$61:$AN$125,$C139,BC$61:BC$125)-SUMIF($AN$61:$AN$125,'Option inputs'!$C$14,BC$61:BC$125)*'Option inputs'!$F25*R$55</f>
        <v>0</v>
      </c>
      <c r="S139" s="17">
        <f>SUMIF($C$61:$C$125,$C139,S$61:S$125)-SUMIF($C$61:$C$125,'Option inputs'!$C$14,S$61:S$125)*'Option inputs'!$F25*S$55+SUMIF($AN$61:$AN$125,$C139,BD$61:BD$125)-SUMIF($AN$61:$AN$125,'Option inputs'!$C$14,BD$61:BD$125)*'Option inputs'!$F25*S$55</f>
        <v>0</v>
      </c>
      <c r="T139" s="17">
        <f>SUMIF($C$61:$C$125,$C139,T$61:T$125)-SUMIF($C$61:$C$125,'Option inputs'!$C$14,T$61:T$125)*'Option inputs'!$F25*T$55+SUMIF($AN$61:$AN$125,$C139,BE$61:BE$125)-SUMIF($AN$61:$AN$125,'Option inputs'!$C$14,BE$61:BE$125)*'Option inputs'!$F25*T$55</f>
        <v>0</v>
      </c>
      <c r="U139" s="17">
        <f>SUMIF($C$61:$C$125,$C139,U$61:U$125)-SUMIF($C$61:$C$125,'Option inputs'!$C$14,U$61:U$125)*'Option inputs'!$F25*U$55+SUMIF($AN$61:$AN$125,$C139,BF$61:BF$125)-SUMIF($AN$61:$AN$125,'Option inputs'!$C$14,BF$61:BF$125)*'Option inputs'!$F25*U$55</f>
        <v>0</v>
      </c>
      <c r="V139" s="17">
        <f>SUMIF($C$61:$C$125,$C139,V$61:V$125)-SUMIF($C$61:$C$125,'Option inputs'!$C$14,V$61:V$125)*'Option inputs'!$F25*V$55+SUMIF($AN$61:$AN$125,$C139,BG$61:BG$125)-SUMIF($AN$61:$AN$125,'Option inputs'!$C$14,BG$61:BG$125)*'Option inputs'!$F25*V$55</f>
        <v>0</v>
      </c>
      <c r="W139" s="17">
        <f>SUMIF($C$61:$C$125,$C139,W$61:W$125)-SUMIF($C$61:$C$125,'Option inputs'!$C$14,W$61:W$125)*'Option inputs'!$F25*W$55+SUMIF($AN$61:$AN$125,$C139,BH$61:BH$125)-SUMIF($AN$61:$AN$125,'Option inputs'!$C$14,BH$61:BH$125)*'Option inputs'!$F25*W$55</f>
        <v>0</v>
      </c>
      <c r="X139" s="17">
        <f>SUMIF($C$61:$C$125,$C139,X$61:X$125)-SUMIF($C$61:$C$125,'Option inputs'!$C$14,X$61:X$125)*'Option inputs'!$F25*X$55+SUMIF($AN$61:$AN$125,$C139,BI$61:BI$125)-SUMIF($AN$61:$AN$125,'Option inputs'!$C$14,BI$61:BI$125)*'Option inputs'!$F25*X$55</f>
        <v>0</v>
      </c>
      <c r="Y139" s="17">
        <f>SUMIF($C$61:$C$125,$C139,Y$61:Y$125)-SUMIF($C$61:$C$125,'Option inputs'!$C$14,Y$61:Y$125)*'Option inputs'!$F25*Y$55+SUMIF($AN$61:$AN$125,$C139,BJ$61:BJ$125)-SUMIF($AN$61:$AN$125,'Option inputs'!$C$14,BJ$61:BJ$125)*'Option inputs'!$F25*Y$55</f>
        <v>0</v>
      </c>
      <c r="Z139" s="17">
        <f>SUMIF($C$61:$C$125,$C139,Z$61:Z$125)-SUMIF($C$61:$C$125,'Option inputs'!$C$14,Z$61:Z$125)*'Option inputs'!$F25*Z$55+SUMIF($AN$61:$AN$125,$C139,BK$61:BK$125)-SUMIF($AN$61:$AN$125,'Option inputs'!$C$14,BK$61:BK$125)*'Option inputs'!$F25*Z$55</f>
        <v>0</v>
      </c>
      <c r="AA139" s="17">
        <f>SUMIF($C$61:$C$125,$C139,AA$61:AA$125)-SUMIF($C$61:$C$125,'Option inputs'!$C$14,AA$61:AA$125)*'Option inputs'!$F25*AA$55+SUMIF($AN$61:$AN$125,$C139,BL$61:BL$125)-SUMIF($AN$61:$AN$125,'Option inputs'!$C$14,BL$61:BL$125)*'Option inputs'!$F25*AA$55</f>
        <v>0</v>
      </c>
      <c r="AB139" s="17">
        <f>SUMIF($C$61:$C$125,$C139,AB$61:AB$125)-SUMIF($C$61:$C$125,'Option inputs'!$C$14,AB$61:AB$125)*'Option inputs'!$F25*AB$55+SUMIF($AN$61:$AN$125,$C139,BM$61:BM$125)-SUMIF($AN$61:$AN$125,'Option inputs'!$C$14,BM$61:BM$125)*'Option inputs'!$F25*AB$55</f>
        <v>0</v>
      </c>
      <c r="AC139" s="17">
        <f>SUMIF($C$61:$C$125,$C139,AC$61:AC$125)-SUMIF($C$61:$C$125,'Option inputs'!$C$14,AC$61:AC$125)*'Option inputs'!$F25*AC$55+SUMIF($AN$61:$AN$125,$C139,BN$61:BN$125)-SUMIF($AN$61:$AN$125,'Option inputs'!$C$14,BN$61:BN$125)*'Option inputs'!$F25*AC$55</f>
        <v>0</v>
      </c>
      <c r="AD139" s="17">
        <f>SUMIF($C$61:$C$125,$C139,AD$61:AD$125)-SUMIF($C$61:$C$125,'Option inputs'!$C$14,AD$61:AD$125)*'Option inputs'!$F25*AD$55+SUMIF($AN$61:$AN$125,$C139,BO$61:BO$125)-SUMIF($AN$61:$AN$125,'Option inputs'!$C$14,BO$61:BO$125)*'Option inputs'!$F25*AD$55</f>
        <v>0</v>
      </c>
      <c r="AE139" s="17">
        <f>SUMIF($C$61:$C$125,$C139,AE$61:AE$125)-SUMIF($C$61:$C$125,'Option inputs'!$C$14,AE$61:AE$125)*'Option inputs'!$F25*AE$55+SUMIF($AN$61:$AN$125,$C139,BP$61:BP$125)-SUMIF($AN$61:$AN$125,'Option inputs'!$C$14,BP$61:BP$125)*'Option inputs'!$F25*AE$55</f>
        <v>0</v>
      </c>
      <c r="AF139" s="17">
        <f>SUMIF($C$61:$C$125,$C139,AF$61:AF$125)-SUMIF($C$61:$C$125,'Option inputs'!$C$14,AF$61:AF$125)*'Option inputs'!$F25*AF$55+SUMIF($AN$61:$AN$125,$C139,BQ$61:BQ$125)-SUMIF($AN$61:$AN$125,'Option inputs'!$C$14,BQ$61:BQ$125)*'Option inputs'!$F25*AF$55</f>
        <v>1110900000</v>
      </c>
      <c r="AG139" s="17">
        <f>SUMIF($C$61:$C$125,$C139,AG$61:AG$125)-SUMIF($C$61:$C$125,'Option inputs'!$C$14,AG$61:AG$125)*'Option inputs'!$F25*AG$55+SUMIF($AN$61:$AN$125,$C139,BR$61:BR$125)-SUMIF($AN$61:$AN$125,'Option inputs'!$C$14,BR$61:BR$125)*'Option inputs'!$F25*AG$55</f>
        <v>0</v>
      </c>
      <c r="AH139" s="17">
        <f>SUMIF($C$61:$C$125,$C139,AH$61:AH$125)-SUMIF($C$61:$C$125,'Option inputs'!$C$14,AH$61:AH$125)*'Option inputs'!$F25*AH$55+SUMIF($AN$61:$AN$125,$C139,BS$61:BS$125)-SUMIF($AN$61:$AN$125,'Option inputs'!$C$14,BS$61:BS$125)*'Option inputs'!$F25*AH$55</f>
        <v>0</v>
      </c>
      <c r="AI139" s="17">
        <f>SUMIF($C$61:$C$125,$C139,AI$61:AI$125)-SUMIF($C$61:$C$125,'Option inputs'!$C$14,AI$61:AI$125)*'Option inputs'!$F25*AI$55+SUMIF($AN$61:$AN$125,$C139,BT$61:BT$125)-SUMIF($AN$61:$AN$125,'Option inputs'!$C$14,BT$61:BT$125)*'Option inputs'!$F25*AI$55</f>
        <v>0</v>
      </c>
      <c r="AJ139" s="17">
        <f>SUMIF($C$61:$C$125,$C139,AJ$61:AJ$125)-SUMIF($C$61:$C$125,'Option inputs'!$C$14,AJ$61:AJ$125)*'Option inputs'!$F25*AJ$55+SUMIF($AN$61:$AN$125,$C139,BU$61:BU$125)-SUMIF($AN$61:$AN$125,'Option inputs'!$C$14,BU$61:BU$125)*'Option inputs'!$F25*AJ$55</f>
        <v>0</v>
      </c>
    </row>
    <row r="140" spans="2:36" x14ac:dyDescent="0.35">
      <c r="B140" s="9">
        <f>+'Option inputs'!$B$26</f>
        <v>12</v>
      </c>
      <c r="C140" s="14" t="str">
        <f>+'Option inputs'!$C$26</f>
        <v>Option 4C</v>
      </c>
      <c r="D140" s="26"/>
      <c r="E140" s="12" t="s">
        <v>35</v>
      </c>
      <c r="F140" s="18">
        <f t="shared" si="39"/>
        <v>-1362642802.7465215</v>
      </c>
      <c r="G140" s="17">
        <f>SUMIF($C$61:$C$125,$C140,G$61:G$125)-SUMIF($C$61:$C$125,'Option inputs'!$C$14,G$61:G$125)*'Option inputs'!$F26*G$55+SUMIF($AN$61:$AN$125,$C140,AR$61:AR$125)-SUMIF($AN$61:$AN$125,'Option inputs'!$C$14,AR$61:AR$125)*'Option inputs'!$F26*G$55</f>
        <v>0</v>
      </c>
      <c r="H140" s="17">
        <f>SUMIF($C$61:$C$125,$C140,H$61:H$125)-SUMIF($C$61:$C$125,'Option inputs'!$C$14,H$61:H$125)*'Option inputs'!$F26*H$55+SUMIF($AN$61:$AN$125,$C140,AS$61:AS$125)-SUMIF($AN$61:$AN$125,'Option inputs'!$C$14,AS$61:AS$125)*'Option inputs'!$F26*H$55</f>
        <v>-338750000</v>
      </c>
      <c r="I140" s="17">
        <f>SUMIF($C$61:$C$125,$C140,I$61:I$125)-SUMIF($C$61:$C$125,'Option inputs'!$C$14,I$61:I$125)*'Option inputs'!$F26*I$55+SUMIF($AN$61:$AN$125,$C140,AT$61:AT$125)-SUMIF($AN$61:$AN$125,'Option inputs'!$C$14,AT$61:AT$125)*'Option inputs'!$F26*I$55</f>
        <v>-472750000</v>
      </c>
      <c r="J140" s="17">
        <f>SUMIF($C$61:$C$125,$C140,J$61:J$125)-SUMIF($C$61:$C$125,'Option inputs'!$C$14,J$61:J$125)*'Option inputs'!$F26*J$55+SUMIF($AN$61:$AN$125,$C140,AU$61:AU$125)-SUMIF($AN$61:$AN$125,'Option inputs'!$C$14,AU$61:AU$125)*'Option inputs'!$F26*J$55</f>
        <v>-472750000</v>
      </c>
      <c r="K140" s="17">
        <f>SUMIF($C$61:$C$125,$C140,K$61:K$125)-SUMIF($C$61:$C$125,'Option inputs'!$C$14,K$61:K$125)*'Option inputs'!$F26*K$55+SUMIF($AN$61:$AN$125,$C140,AV$61:AV$125)-SUMIF($AN$61:$AN$125,'Option inputs'!$C$14,AV$61:AV$125)*'Option inputs'!$F26*K$55</f>
        <v>-472750000</v>
      </c>
      <c r="L140" s="17">
        <f>SUMIF($C$61:$C$125,$C140,L$61:L$125)-SUMIF($C$61:$C$125,'Option inputs'!$C$14,L$61:L$125)*'Option inputs'!$F26*L$55+SUMIF($AN$61:$AN$125,$C140,AW$61:AW$125)-SUMIF($AN$61:$AN$125,'Option inputs'!$C$14,AW$61:AW$125)*'Option inputs'!$F26*L$55</f>
        <v>-134000000</v>
      </c>
      <c r="M140" s="17">
        <f>SUMIF($C$61:$C$125,$C140,M$61:M$125)-SUMIF($C$61:$C$125,'Option inputs'!$C$14,M$61:M$125)*'Option inputs'!$F26*M$55+SUMIF($AN$61:$AN$125,$C140,AX$61:AX$125)-SUMIF($AN$61:$AN$125,'Option inputs'!$C$14,AX$61:AX$125)*'Option inputs'!$F26*M$55</f>
        <v>0</v>
      </c>
      <c r="N140" s="17">
        <f>SUMIF($C$61:$C$125,$C140,N$61:N$125)-SUMIF($C$61:$C$125,'Option inputs'!$C$14,N$61:N$125)*'Option inputs'!$F26*N$55+SUMIF($AN$61:$AN$125,$C140,AY$61:AY$125)-SUMIF($AN$61:$AN$125,'Option inputs'!$C$14,AY$61:AY$125)*'Option inputs'!$F26*N$55</f>
        <v>0</v>
      </c>
      <c r="O140" s="17">
        <f>SUMIF($C$61:$C$125,$C140,O$61:O$125)-SUMIF($C$61:$C$125,'Option inputs'!$C$14,O$61:O$125)*'Option inputs'!$F26*O$55+SUMIF($AN$61:$AN$125,$C140,AZ$61:AZ$125)-SUMIF($AN$61:$AN$125,'Option inputs'!$C$14,AZ$61:AZ$125)*'Option inputs'!$F26*O$55</f>
        <v>0</v>
      </c>
      <c r="P140" s="17">
        <f>SUMIF($C$61:$C$125,$C140,P$61:P$125)-SUMIF($C$61:$C$125,'Option inputs'!$C$14,P$61:P$125)*'Option inputs'!$F26*P$55+SUMIF($AN$61:$AN$125,$C140,BA$61:BA$125)-SUMIF($AN$61:$AN$125,'Option inputs'!$C$14,BA$61:BA$125)*'Option inputs'!$F26*P$55</f>
        <v>0</v>
      </c>
      <c r="Q140" s="17">
        <f>SUMIF($C$61:$C$125,$C140,Q$61:Q$125)-SUMIF($C$61:$C$125,'Option inputs'!$C$14,Q$61:Q$125)*'Option inputs'!$F26*Q$55+SUMIF($AN$61:$AN$125,$C140,BB$61:BB$125)-SUMIF($AN$61:$AN$125,'Option inputs'!$C$14,BB$61:BB$125)*'Option inputs'!$F26*Q$55</f>
        <v>0</v>
      </c>
      <c r="R140" s="17">
        <f>SUMIF($C$61:$C$125,$C140,R$61:R$125)-SUMIF($C$61:$C$125,'Option inputs'!$C$14,R$61:R$125)*'Option inputs'!$F26*R$55+SUMIF($AN$61:$AN$125,$C140,BC$61:BC$125)-SUMIF($AN$61:$AN$125,'Option inputs'!$C$14,BC$61:BC$125)*'Option inputs'!$F26*R$55</f>
        <v>0</v>
      </c>
      <c r="S140" s="17">
        <f>SUMIF($C$61:$C$125,$C140,S$61:S$125)-SUMIF($C$61:$C$125,'Option inputs'!$C$14,S$61:S$125)*'Option inputs'!$F26*S$55+SUMIF($AN$61:$AN$125,$C140,BD$61:BD$125)-SUMIF($AN$61:$AN$125,'Option inputs'!$C$14,BD$61:BD$125)*'Option inputs'!$F26*S$55</f>
        <v>0</v>
      </c>
      <c r="T140" s="17">
        <f>SUMIF($C$61:$C$125,$C140,T$61:T$125)-SUMIF($C$61:$C$125,'Option inputs'!$C$14,T$61:T$125)*'Option inputs'!$F26*T$55+SUMIF($AN$61:$AN$125,$C140,BE$61:BE$125)-SUMIF($AN$61:$AN$125,'Option inputs'!$C$14,BE$61:BE$125)*'Option inputs'!$F26*T$55</f>
        <v>0</v>
      </c>
      <c r="U140" s="17">
        <f>SUMIF($C$61:$C$125,$C140,U$61:U$125)-SUMIF($C$61:$C$125,'Option inputs'!$C$14,U$61:U$125)*'Option inputs'!$F26*U$55+SUMIF($AN$61:$AN$125,$C140,BF$61:BF$125)-SUMIF($AN$61:$AN$125,'Option inputs'!$C$14,BF$61:BF$125)*'Option inputs'!$F26*U$55</f>
        <v>0</v>
      </c>
      <c r="V140" s="17">
        <f>SUMIF($C$61:$C$125,$C140,V$61:V$125)-SUMIF($C$61:$C$125,'Option inputs'!$C$14,V$61:V$125)*'Option inputs'!$F26*V$55+SUMIF($AN$61:$AN$125,$C140,BG$61:BG$125)-SUMIF($AN$61:$AN$125,'Option inputs'!$C$14,BG$61:BG$125)*'Option inputs'!$F26*V$55</f>
        <v>0</v>
      </c>
      <c r="W140" s="17">
        <f>SUMIF($C$61:$C$125,$C140,W$61:W$125)-SUMIF($C$61:$C$125,'Option inputs'!$C$14,W$61:W$125)*'Option inputs'!$F26*W$55+SUMIF($AN$61:$AN$125,$C140,BH$61:BH$125)-SUMIF($AN$61:$AN$125,'Option inputs'!$C$14,BH$61:BH$125)*'Option inputs'!$F26*W$55</f>
        <v>0</v>
      </c>
      <c r="X140" s="17">
        <f>SUMIF($C$61:$C$125,$C140,X$61:X$125)-SUMIF($C$61:$C$125,'Option inputs'!$C$14,X$61:X$125)*'Option inputs'!$F26*X$55+SUMIF($AN$61:$AN$125,$C140,BI$61:BI$125)-SUMIF($AN$61:$AN$125,'Option inputs'!$C$14,BI$61:BI$125)*'Option inputs'!$F26*X$55</f>
        <v>0</v>
      </c>
      <c r="Y140" s="17">
        <f>SUMIF($C$61:$C$125,$C140,Y$61:Y$125)-SUMIF($C$61:$C$125,'Option inputs'!$C$14,Y$61:Y$125)*'Option inputs'!$F26*Y$55+SUMIF($AN$61:$AN$125,$C140,BJ$61:BJ$125)-SUMIF($AN$61:$AN$125,'Option inputs'!$C$14,BJ$61:BJ$125)*'Option inputs'!$F26*Y$55</f>
        <v>0</v>
      </c>
      <c r="Z140" s="17">
        <f>SUMIF($C$61:$C$125,$C140,Z$61:Z$125)-SUMIF($C$61:$C$125,'Option inputs'!$C$14,Z$61:Z$125)*'Option inputs'!$F26*Z$55+SUMIF($AN$61:$AN$125,$C140,BK$61:BK$125)-SUMIF($AN$61:$AN$125,'Option inputs'!$C$14,BK$61:BK$125)*'Option inputs'!$F26*Z$55</f>
        <v>0</v>
      </c>
      <c r="AA140" s="17">
        <f>SUMIF($C$61:$C$125,$C140,AA$61:AA$125)-SUMIF($C$61:$C$125,'Option inputs'!$C$14,AA$61:AA$125)*'Option inputs'!$F26*AA$55+SUMIF($AN$61:$AN$125,$C140,BL$61:BL$125)-SUMIF($AN$61:$AN$125,'Option inputs'!$C$14,BL$61:BL$125)*'Option inputs'!$F26*AA$55</f>
        <v>0</v>
      </c>
      <c r="AB140" s="17">
        <f>SUMIF($C$61:$C$125,$C140,AB$61:AB$125)-SUMIF($C$61:$C$125,'Option inputs'!$C$14,AB$61:AB$125)*'Option inputs'!$F26*AB$55+SUMIF($AN$61:$AN$125,$C140,BM$61:BM$125)-SUMIF($AN$61:$AN$125,'Option inputs'!$C$14,BM$61:BM$125)*'Option inputs'!$F26*AB$55</f>
        <v>0</v>
      </c>
      <c r="AC140" s="17">
        <f>SUMIF($C$61:$C$125,$C140,AC$61:AC$125)-SUMIF($C$61:$C$125,'Option inputs'!$C$14,AC$61:AC$125)*'Option inputs'!$F26*AC$55+SUMIF($AN$61:$AN$125,$C140,BN$61:BN$125)-SUMIF($AN$61:$AN$125,'Option inputs'!$C$14,BN$61:BN$125)*'Option inputs'!$F26*AC$55</f>
        <v>0</v>
      </c>
      <c r="AD140" s="17">
        <f>SUMIF($C$61:$C$125,$C140,AD$61:AD$125)-SUMIF($C$61:$C$125,'Option inputs'!$C$14,AD$61:AD$125)*'Option inputs'!$F26*AD$55+SUMIF($AN$61:$AN$125,$C140,BO$61:BO$125)-SUMIF($AN$61:$AN$125,'Option inputs'!$C$14,BO$61:BO$125)*'Option inputs'!$F26*AD$55</f>
        <v>0</v>
      </c>
      <c r="AE140" s="17">
        <f>SUMIF($C$61:$C$125,$C140,AE$61:AE$125)-SUMIF($C$61:$C$125,'Option inputs'!$C$14,AE$61:AE$125)*'Option inputs'!$F26*AE$55+SUMIF($AN$61:$AN$125,$C140,BP$61:BP$125)-SUMIF($AN$61:$AN$125,'Option inputs'!$C$14,BP$61:BP$125)*'Option inputs'!$F26*AE$55</f>
        <v>0</v>
      </c>
      <c r="AF140" s="17">
        <f>SUMIF($C$61:$C$125,$C140,AF$61:AF$125)-SUMIF($C$61:$C$125,'Option inputs'!$C$14,AF$61:AF$125)*'Option inputs'!$F26*AF$55+SUMIF($AN$61:$AN$125,$C140,BQ$61:BQ$125)-SUMIF($AN$61:$AN$125,'Option inputs'!$C$14,BQ$61:BQ$125)*'Option inputs'!$F26*AF$55</f>
        <v>1061845000</v>
      </c>
      <c r="AG140" s="17">
        <f>SUMIF($C$61:$C$125,$C140,AG$61:AG$125)-SUMIF($C$61:$C$125,'Option inputs'!$C$14,AG$61:AG$125)*'Option inputs'!$F26*AG$55+SUMIF($AN$61:$AN$125,$C140,BR$61:BR$125)-SUMIF($AN$61:$AN$125,'Option inputs'!$C$14,BR$61:BR$125)*'Option inputs'!$F26*AG$55</f>
        <v>0</v>
      </c>
      <c r="AH140" s="17">
        <f>SUMIF($C$61:$C$125,$C140,AH$61:AH$125)-SUMIF($C$61:$C$125,'Option inputs'!$C$14,AH$61:AH$125)*'Option inputs'!$F26*AH$55+SUMIF($AN$61:$AN$125,$C140,BS$61:BS$125)-SUMIF($AN$61:$AN$125,'Option inputs'!$C$14,BS$61:BS$125)*'Option inputs'!$F26*AH$55</f>
        <v>0</v>
      </c>
      <c r="AI140" s="17">
        <f>SUMIF($C$61:$C$125,$C140,AI$61:AI$125)-SUMIF($C$61:$C$125,'Option inputs'!$C$14,AI$61:AI$125)*'Option inputs'!$F26*AI$55+SUMIF($AN$61:$AN$125,$C140,BT$61:BT$125)-SUMIF($AN$61:$AN$125,'Option inputs'!$C$14,BT$61:BT$125)*'Option inputs'!$F26*AI$55</f>
        <v>0</v>
      </c>
      <c r="AJ140" s="17">
        <f>SUMIF($C$61:$C$125,$C140,AJ$61:AJ$125)-SUMIF($C$61:$C$125,'Option inputs'!$C$14,AJ$61:AJ$125)*'Option inputs'!$F26*AJ$55+SUMIF($AN$61:$AN$125,$C140,BU$61:BU$125)-SUMIF($AN$61:$AN$125,'Option inputs'!$C$14,BU$61:BU$125)*'Option inputs'!$F26*AJ$55</f>
        <v>0</v>
      </c>
    </row>
    <row r="141" spans="2:36" x14ac:dyDescent="0.35">
      <c r="F141" s="134"/>
    </row>
    <row r="142" spans="2:36" x14ac:dyDescent="0.35">
      <c r="B142" s="5" t="str">
        <f>+'CBA Inputs'!B52</f>
        <v>Operating and maintenance cost</v>
      </c>
      <c r="C142" s="28"/>
      <c r="D142" s="28"/>
      <c r="E142" s="11"/>
      <c r="F142" s="11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:36" x14ac:dyDescent="0.35">
      <c r="B143" s="7" t="s">
        <v>14</v>
      </c>
      <c r="C143" s="10" t="s">
        <v>13</v>
      </c>
      <c r="D143" s="10"/>
      <c r="E143" s="8" t="s">
        <v>22</v>
      </c>
      <c r="F143" s="8" t="s">
        <v>37</v>
      </c>
      <c r="G143" s="13" t="str">
        <f>G$56</f>
        <v>FY 2019-20</v>
      </c>
      <c r="H143" s="13" t="str">
        <f t="shared" ref="H143:AJ143" si="40">H$56</f>
        <v>FY 2020-21</v>
      </c>
      <c r="I143" s="13" t="str">
        <f t="shared" si="40"/>
        <v>FY 2021-22</v>
      </c>
      <c r="J143" s="13" t="str">
        <f t="shared" si="40"/>
        <v>FY 2022-23</v>
      </c>
      <c r="K143" s="13" t="str">
        <f t="shared" si="40"/>
        <v>FY 2023-24</v>
      </c>
      <c r="L143" s="13" t="str">
        <f t="shared" si="40"/>
        <v>FY 2024-25</v>
      </c>
      <c r="M143" s="13" t="str">
        <f t="shared" si="40"/>
        <v>FY 2025-26</v>
      </c>
      <c r="N143" s="13" t="str">
        <f t="shared" si="40"/>
        <v>FY 2026-27</v>
      </c>
      <c r="O143" s="13" t="str">
        <f t="shared" si="40"/>
        <v>FY 2027-28</v>
      </c>
      <c r="P143" s="13" t="str">
        <f t="shared" si="40"/>
        <v>FY 2028-29</v>
      </c>
      <c r="Q143" s="13" t="str">
        <f t="shared" si="40"/>
        <v>FY 2029-30</v>
      </c>
      <c r="R143" s="13" t="str">
        <f t="shared" si="40"/>
        <v>FY 2030-31</v>
      </c>
      <c r="S143" s="13" t="str">
        <f t="shared" si="40"/>
        <v>FY 2031-32</v>
      </c>
      <c r="T143" s="13" t="str">
        <f t="shared" si="40"/>
        <v>FY 2032-33</v>
      </c>
      <c r="U143" s="13" t="str">
        <f t="shared" si="40"/>
        <v>FY 2033-34</v>
      </c>
      <c r="V143" s="13" t="str">
        <f t="shared" si="40"/>
        <v>FY 2034-35</v>
      </c>
      <c r="W143" s="13" t="str">
        <f t="shared" si="40"/>
        <v>FY 2035-36</v>
      </c>
      <c r="X143" s="13" t="str">
        <f t="shared" si="40"/>
        <v>FY 2036-37</v>
      </c>
      <c r="Y143" s="13" t="str">
        <f t="shared" si="40"/>
        <v>FY 2037-38</v>
      </c>
      <c r="Z143" s="13" t="str">
        <f t="shared" si="40"/>
        <v>FY 2038-39</v>
      </c>
      <c r="AA143" s="13" t="str">
        <f t="shared" si="40"/>
        <v>FY 2039-40</v>
      </c>
      <c r="AB143" s="13" t="str">
        <f t="shared" si="40"/>
        <v>FY 2040-41</v>
      </c>
      <c r="AC143" s="13" t="str">
        <f t="shared" si="40"/>
        <v>FY 2041-42</v>
      </c>
      <c r="AD143" s="13" t="str">
        <f t="shared" si="40"/>
        <v>FY 2042-43</v>
      </c>
      <c r="AE143" s="13" t="str">
        <f t="shared" si="40"/>
        <v>FY 2043-44</v>
      </c>
      <c r="AF143" s="13" t="str">
        <f t="shared" si="40"/>
        <v>FY 2044-45</v>
      </c>
      <c r="AG143" s="13" t="str">
        <f t="shared" si="40"/>
        <v>FY 2045-46</v>
      </c>
      <c r="AH143" s="13" t="str">
        <f t="shared" si="40"/>
        <v>FY 2046-47</v>
      </c>
      <c r="AI143" s="13" t="str">
        <f t="shared" si="40"/>
        <v>FY 2047-48</v>
      </c>
      <c r="AJ143" s="13" t="str">
        <f t="shared" si="40"/>
        <v>FY 2048-49</v>
      </c>
    </row>
    <row r="144" spans="2:36" x14ac:dyDescent="0.35">
      <c r="B144" s="9">
        <f>+'Option inputs'!$B$15</f>
        <v>1</v>
      </c>
      <c r="C144" s="14" t="str">
        <f>+'Option inputs'!$C$15</f>
        <v>Option 1A</v>
      </c>
      <c r="D144" s="26"/>
      <c r="E144" s="12" t="s">
        <v>35</v>
      </c>
      <c r="F144" s="18">
        <f t="shared" ref="F144:F155" si="41">NPV(DiscountRate_ACTIVE,G144:AJ144)/(1+DiscountRate_ACTIVE)^(FirstYear-BaseYear-1)</f>
        <v>-74989777.303553417</v>
      </c>
      <c r="G144" s="17">
        <f>+('CBA Inputs'!F$54-'CBA Inputs'!F55)*'CBA Inputs'!$J$13*IF(G$143=0,0,1)*'Option inputs'!$F15*G$55</f>
        <v>0</v>
      </c>
      <c r="H144" s="17">
        <f>+('CBA Inputs'!G$54-'CBA Inputs'!G55)*'CBA Inputs'!$J$13*IF(H$143=0,0,1)*'Option inputs'!$F15*H$55</f>
        <v>0</v>
      </c>
      <c r="I144" s="17">
        <f>+('CBA Inputs'!H$54-'CBA Inputs'!H55)*'CBA Inputs'!$J$13*IF(I$143=0,0,1)*'Option inputs'!$F15*I$55</f>
        <v>0</v>
      </c>
      <c r="J144" s="17">
        <f>+('CBA Inputs'!I$54-'CBA Inputs'!I55)*'CBA Inputs'!$J$13*IF(J$143=0,0,1)*'Option inputs'!$F15*J$55</f>
        <v>0</v>
      </c>
      <c r="K144" s="17">
        <f>+('CBA Inputs'!J$54-'CBA Inputs'!J55)*'CBA Inputs'!$J$13*IF(K$143=0,0,1)*'Option inputs'!$F15*K$55</f>
        <v>0</v>
      </c>
      <c r="L144" s="17">
        <f>+('CBA Inputs'!K$54-'CBA Inputs'!K55)*'CBA Inputs'!$J$13*IF(L$143=0,0,1)*'Option inputs'!$F15*L$55</f>
        <v>-7950000</v>
      </c>
      <c r="M144" s="17">
        <f>+('CBA Inputs'!L$54-'CBA Inputs'!L55)*'CBA Inputs'!$J$13*IF(M$143=0,0,1)*'Option inputs'!$F15*M$55</f>
        <v>-7950000</v>
      </c>
      <c r="N144" s="17">
        <f>+('CBA Inputs'!M$54-'CBA Inputs'!M55)*'CBA Inputs'!$J$13*IF(N$143=0,0,1)*'Option inputs'!$F15*N$55</f>
        <v>-7950000</v>
      </c>
      <c r="O144" s="17">
        <f>+('CBA Inputs'!N$54-'CBA Inputs'!N55)*'CBA Inputs'!$J$13*IF(O$143=0,0,1)*'Option inputs'!$F15*O$55</f>
        <v>-7950000</v>
      </c>
      <c r="P144" s="17">
        <f>+('CBA Inputs'!O$54-'CBA Inputs'!O55)*'CBA Inputs'!$J$13*IF(P$143=0,0,1)*'Option inputs'!$F15*P$55</f>
        <v>-7950000</v>
      </c>
      <c r="Q144" s="17">
        <f>+('CBA Inputs'!P$54-'CBA Inputs'!P55)*'CBA Inputs'!$J$13*IF(Q$143=0,0,1)*'Option inputs'!$F15*Q$55</f>
        <v>-7950000</v>
      </c>
      <c r="R144" s="17">
        <f>+('CBA Inputs'!Q$54-'CBA Inputs'!Q55)*'CBA Inputs'!$J$13*IF(R$143=0,0,1)*'Option inputs'!$F15*R$55</f>
        <v>-7950000</v>
      </c>
      <c r="S144" s="17">
        <f>+('CBA Inputs'!R$54-'CBA Inputs'!R55)*'CBA Inputs'!$J$13*IF(S$143=0,0,1)*'Option inputs'!$F15*S$55</f>
        <v>-7950000</v>
      </c>
      <c r="T144" s="17">
        <f>+('CBA Inputs'!S$54-'CBA Inputs'!S55)*'CBA Inputs'!$J$13*IF(T$143=0,0,1)*'Option inputs'!$F15*T$55</f>
        <v>-7950000</v>
      </c>
      <c r="U144" s="17">
        <f>+('CBA Inputs'!T$54-'CBA Inputs'!T55)*'CBA Inputs'!$J$13*IF(U$143=0,0,1)*'Option inputs'!$F15*U$55</f>
        <v>-7950000</v>
      </c>
      <c r="V144" s="17">
        <f>+('CBA Inputs'!U$54-'CBA Inputs'!U55)*'CBA Inputs'!$J$13*IF(V$143=0,0,1)*'Option inputs'!$F15*V$55</f>
        <v>-7950000</v>
      </c>
      <c r="W144" s="17">
        <f>+('CBA Inputs'!V$54-'CBA Inputs'!V55)*'CBA Inputs'!$J$13*IF(W$143=0,0,1)*'Option inputs'!$F15*W$55</f>
        <v>-7950000</v>
      </c>
      <c r="X144" s="17">
        <f>+('CBA Inputs'!W$54-'CBA Inputs'!W55)*'CBA Inputs'!$J$13*IF(X$143=0,0,1)*'Option inputs'!$F15*X$55</f>
        <v>-7950000</v>
      </c>
      <c r="Y144" s="17">
        <f>+('CBA Inputs'!X$54-'CBA Inputs'!X55)*'CBA Inputs'!$J$13*IF(Y$143=0,0,1)*'Option inputs'!$F15*Y$55</f>
        <v>-7950000</v>
      </c>
      <c r="Z144" s="17">
        <f>+('CBA Inputs'!Y$54-'CBA Inputs'!Y55)*'CBA Inputs'!$J$13*IF(Z$143=0,0,1)*'Option inputs'!$F15*Z$55</f>
        <v>-7950000</v>
      </c>
      <c r="AA144" s="17">
        <f>+('CBA Inputs'!Z$54-'CBA Inputs'!Z55)*'CBA Inputs'!$J$13*IF(AA$143=0,0,1)*'Option inputs'!$F15*AA$55</f>
        <v>-7950000</v>
      </c>
      <c r="AB144" s="17">
        <f>+('CBA Inputs'!AA$54-'CBA Inputs'!AA55)*'CBA Inputs'!$J$13*IF(AB$143=0,0,1)*'Option inputs'!$F15*AB$55</f>
        <v>-7950000</v>
      </c>
      <c r="AC144" s="17">
        <f>+('CBA Inputs'!AB$54-'CBA Inputs'!AB55)*'CBA Inputs'!$J$13*IF(AC$143=0,0,1)*'Option inputs'!$F15*AC$55</f>
        <v>-7950000</v>
      </c>
      <c r="AD144" s="17">
        <f>+('CBA Inputs'!AC$54-'CBA Inputs'!AC55)*'CBA Inputs'!$J$13*IF(AD$143=0,0,1)*'Option inputs'!$F15*AD$55</f>
        <v>-7950000</v>
      </c>
      <c r="AE144" s="17">
        <f>+('CBA Inputs'!AD$54-'CBA Inputs'!AD55)*'CBA Inputs'!$J$13*IF(AE$143=0,0,1)*'Option inputs'!$F15*AE$55</f>
        <v>-7950000</v>
      </c>
      <c r="AF144" s="17">
        <f>+('CBA Inputs'!AE$54-'CBA Inputs'!AE55)*'CBA Inputs'!$J$13*IF(AF$143=0,0,1)*'Option inputs'!$F15*AF$55</f>
        <v>-7950000</v>
      </c>
      <c r="AG144" s="17">
        <f>+('CBA Inputs'!AF$54-'CBA Inputs'!AF55)*'CBA Inputs'!$J$13*IF(AG$143=0,0,1)*'Option inputs'!$F15*AG$55</f>
        <v>0</v>
      </c>
      <c r="AH144" s="17">
        <f>+('CBA Inputs'!AG$54-'CBA Inputs'!AG55)*'CBA Inputs'!$J$13*IF(AH$143=0,0,1)*'Option inputs'!$F15*AH$55</f>
        <v>0</v>
      </c>
      <c r="AI144" s="17">
        <f>+('CBA Inputs'!AH$54-'CBA Inputs'!AH55)*'CBA Inputs'!$J$13*IF(AI$143=0,0,1)*'Option inputs'!$F15*AI$55</f>
        <v>0</v>
      </c>
      <c r="AJ144" s="17">
        <f>+('CBA Inputs'!AI$54-'CBA Inputs'!AI55)*'CBA Inputs'!$J$13*IF(AJ$143=0,0,1)*'Option inputs'!$F15*AJ$55</f>
        <v>0</v>
      </c>
    </row>
    <row r="145" spans="2:36" x14ac:dyDescent="0.35">
      <c r="B145" s="9">
        <f>+'Option inputs'!$B$16</f>
        <v>2</v>
      </c>
      <c r="C145" s="14" t="str">
        <f>+'Option inputs'!$C$16</f>
        <v>Option 1B</v>
      </c>
      <c r="D145" s="26"/>
      <c r="E145" s="12" t="s">
        <v>35</v>
      </c>
      <c r="F145" s="18">
        <f t="shared" si="41"/>
        <v>-97377688.721580908</v>
      </c>
      <c r="G145" s="17">
        <f>+('CBA Inputs'!F$54-'CBA Inputs'!F56)*'CBA Inputs'!$J$13*IF(G$143=0,0,1)*'Option inputs'!$F16*G$55</f>
        <v>0</v>
      </c>
      <c r="H145" s="17">
        <f>+('CBA Inputs'!G$54-'CBA Inputs'!G56)*'CBA Inputs'!$J$13*IF(H$143=0,0,1)*'Option inputs'!$F16*H$55</f>
        <v>0</v>
      </c>
      <c r="I145" s="17">
        <f>+('CBA Inputs'!H$54-'CBA Inputs'!H56)*'CBA Inputs'!$J$13*IF(I$143=0,0,1)*'Option inputs'!$F16*I$55</f>
        <v>0</v>
      </c>
      <c r="J145" s="17">
        <f>+('CBA Inputs'!I$54-'CBA Inputs'!I56)*'CBA Inputs'!$J$13*IF(J$143=0,0,1)*'Option inputs'!$F16*J$55</f>
        <v>0</v>
      </c>
      <c r="K145" s="17">
        <f>+('CBA Inputs'!J$54-'CBA Inputs'!J56)*'CBA Inputs'!$J$13*IF(K$143=0,0,1)*'Option inputs'!$F16*K$55</f>
        <v>0</v>
      </c>
      <c r="L145" s="17">
        <f>+('CBA Inputs'!K$54-'CBA Inputs'!K56)*'CBA Inputs'!$J$13*IF(L$143=0,0,1)*'Option inputs'!$F16*L$55</f>
        <v>-9570000</v>
      </c>
      <c r="M145" s="17">
        <f>+('CBA Inputs'!L$54-'CBA Inputs'!L56)*'CBA Inputs'!$J$13*IF(M$143=0,0,1)*'Option inputs'!$F16*M$55</f>
        <v>-9570000</v>
      </c>
      <c r="N145" s="17">
        <f>+('CBA Inputs'!M$54-'CBA Inputs'!M56)*'CBA Inputs'!$J$13*IF(N$143=0,0,1)*'Option inputs'!$F16*N$55</f>
        <v>-9570000</v>
      </c>
      <c r="O145" s="17">
        <f>+('CBA Inputs'!N$54-'CBA Inputs'!N56)*'CBA Inputs'!$J$13*IF(O$143=0,0,1)*'Option inputs'!$F16*O$55</f>
        <v>-9570000</v>
      </c>
      <c r="P145" s="17">
        <f>+('CBA Inputs'!O$54-'CBA Inputs'!O56)*'CBA Inputs'!$J$13*IF(P$143=0,0,1)*'Option inputs'!$F16*P$55</f>
        <v>-9570000</v>
      </c>
      <c r="Q145" s="17">
        <f>+('CBA Inputs'!P$54-'CBA Inputs'!P56)*'CBA Inputs'!$J$13*IF(Q$143=0,0,1)*'Option inputs'!$F16*Q$55</f>
        <v>-10740000</v>
      </c>
      <c r="R145" s="17">
        <f>+('CBA Inputs'!Q$54-'CBA Inputs'!Q56)*'CBA Inputs'!$J$13*IF(R$143=0,0,1)*'Option inputs'!$F16*R$55</f>
        <v>-10740000</v>
      </c>
      <c r="S145" s="17">
        <f>+('CBA Inputs'!R$54-'CBA Inputs'!R56)*'CBA Inputs'!$J$13*IF(S$143=0,0,1)*'Option inputs'!$F16*S$55</f>
        <v>-10740000</v>
      </c>
      <c r="T145" s="17">
        <f>+('CBA Inputs'!S$54-'CBA Inputs'!S56)*'CBA Inputs'!$J$13*IF(T$143=0,0,1)*'Option inputs'!$F16*T$55</f>
        <v>-10740000</v>
      </c>
      <c r="U145" s="17">
        <f>+('CBA Inputs'!T$54-'CBA Inputs'!T56)*'CBA Inputs'!$J$13*IF(U$143=0,0,1)*'Option inputs'!$F16*U$55</f>
        <v>-10740000</v>
      </c>
      <c r="V145" s="17">
        <f>+('CBA Inputs'!U$54-'CBA Inputs'!U56)*'CBA Inputs'!$J$13*IF(V$143=0,0,1)*'Option inputs'!$F16*V$55</f>
        <v>-10740000</v>
      </c>
      <c r="W145" s="17">
        <f>+('CBA Inputs'!V$54-'CBA Inputs'!V56)*'CBA Inputs'!$J$13*IF(W$143=0,0,1)*'Option inputs'!$F16*W$55</f>
        <v>-10740000</v>
      </c>
      <c r="X145" s="17">
        <f>+('CBA Inputs'!W$54-'CBA Inputs'!W56)*'CBA Inputs'!$J$13*IF(X$143=0,0,1)*'Option inputs'!$F16*X$55</f>
        <v>-10740000</v>
      </c>
      <c r="Y145" s="17">
        <f>+('CBA Inputs'!X$54-'CBA Inputs'!X56)*'CBA Inputs'!$J$13*IF(Y$143=0,0,1)*'Option inputs'!$F16*Y$55</f>
        <v>-10740000</v>
      </c>
      <c r="Z145" s="17">
        <f>+('CBA Inputs'!Y$54-'CBA Inputs'!Y56)*'CBA Inputs'!$J$13*IF(Z$143=0,0,1)*'Option inputs'!$F16*Z$55</f>
        <v>-10740000</v>
      </c>
      <c r="AA145" s="17">
        <f>+('CBA Inputs'!Z$54-'CBA Inputs'!Z56)*'CBA Inputs'!$J$13*IF(AA$143=0,0,1)*'Option inputs'!$F16*AA$55</f>
        <v>-10740000</v>
      </c>
      <c r="AB145" s="17">
        <f>+('CBA Inputs'!AA$54-'CBA Inputs'!AA56)*'CBA Inputs'!$J$13*IF(AB$143=0,0,1)*'Option inputs'!$F16*AB$55</f>
        <v>-10740000</v>
      </c>
      <c r="AC145" s="17">
        <f>+('CBA Inputs'!AB$54-'CBA Inputs'!AB56)*'CBA Inputs'!$J$13*IF(AC$143=0,0,1)*'Option inputs'!$F16*AC$55</f>
        <v>-10740000</v>
      </c>
      <c r="AD145" s="17">
        <f>+('CBA Inputs'!AC$54-'CBA Inputs'!AC56)*'CBA Inputs'!$J$13*IF(AD$143=0,0,1)*'Option inputs'!$F16*AD$55</f>
        <v>-10740000</v>
      </c>
      <c r="AE145" s="17">
        <f>+('CBA Inputs'!AD$54-'CBA Inputs'!AD56)*'CBA Inputs'!$J$13*IF(AE$143=0,0,1)*'Option inputs'!$F16*AE$55</f>
        <v>-10740000</v>
      </c>
      <c r="AF145" s="17">
        <f>+('CBA Inputs'!AE$54-'CBA Inputs'!AE56)*'CBA Inputs'!$J$13*IF(AF$143=0,0,1)*'Option inputs'!$F16*AF$55</f>
        <v>-10740000</v>
      </c>
      <c r="AG145" s="17">
        <f>+('CBA Inputs'!AF$54-'CBA Inputs'!AF56)*'CBA Inputs'!$J$13*IF(AG$143=0,0,1)*'Option inputs'!$F16*AG$55</f>
        <v>0</v>
      </c>
      <c r="AH145" s="17">
        <f>+('CBA Inputs'!AG$54-'CBA Inputs'!AG56)*'CBA Inputs'!$J$13*IF(AH$143=0,0,1)*'Option inputs'!$F16*AH$55</f>
        <v>0</v>
      </c>
      <c r="AI145" s="17">
        <f>+('CBA Inputs'!AH$54-'CBA Inputs'!AH56)*'CBA Inputs'!$J$13*IF(AI$143=0,0,1)*'Option inputs'!$F16*AI$55</f>
        <v>0</v>
      </c>
      <c r="AJ145" s="17">
        <f>+('CBA Inputs'!AI$54-'CBA Inputs'!AI56)*'CBA Inputs'!$J$13*IF(AJ$143=0,0,1)*'Option inputs'!$F16*AJ$55</f>
        <v>0</v>
      </c>
    </row>
    <row r="146" spans="2:36" x14ac:dyDescent="0.35">
      <c r="B146" s="9">
        <f>+'Option inputs'!$B$17</f>
        <v>3</v>
      </c>
      <c r="C146" s="14" t="str">
        <f>+'Option inputs'!$C$17</f>
        <v>Option 1C</v>
      </c>
      <c r="D146" s="26"/>
      <c r="E146" s="12" t="s">
        <v>35</v>
      </c>
      <c r="F146" s="18">
        <f t="shared" si="41"/>
        <v>-99986369.738071188</v>
      </c>
      <c r="G146" s="17">
        <f>+('CBA Inputs'!F$54-'CBA Inputs'!F57)*'CBA Inputs'!$J$13*IF(G$143=0,0,1)*'Option inputs'!$F17*G$55</f>
        <v>0</v>
      </c>
      <c r="H146" s="17">
        <f>+('CBA Inputs'!G$54-'CBA Inputs'!G57)*'CBA Inputs'!$J$13*IF(H$143=0,0,1)*'Option inputs'!$F17*H$55</f>
        <v>0</v>
      </c>
      <c r="I146" s="17">
        <f>+('CBA Inputs'!H$54-'CBA Inputs'!H57)*'CBA Inputs'!$J$13*IF(I$143=0,0,1)*'Option inputs'!$F17*I$55</f>
        <v>0</v>
      </c>
      <c r="J146" s="17">
        <f>+('CBA Inputs'!I$54-'CBA Inputs'!I57)*'CBA Inputs'!$J$13*IF(J$143=0,0,1)*'Option inputs'!$F17*J$55</f>
        <v>0</v>
      </c>
      <c r="K146" s="17">
        <f>+('CBA Inputs'!J$54-'CBA Inputs'!J57)*'CBA Inputs'!$J$13*IF(K$143=0,0,1)*'Option inputs'!$F17*K$55</f>
        <v>0</v>
      </c>
      <c r="L146" s="17">
        <f>+('CBA Inputs'!K$54-'CBA Inputs'!K57)*'CBA Inputs'!$J$13*IF(L$143=0,0,1)*'Option inputs'!$F17*L$55</f>
        <v>-10600000</v>
      </c>
      <c r="M146" s="17">
        <f>+('CBA Inputs'!L$54-'CBA Inputs'!L57)*'CBA Inputs'!$J$13*IF(M$143=0,0,1)*'Option inputs'!$F17*M$55</f>
        <v>-10600000</v>
      </c>
      <c r="N146" s="17">
        <f>+('CBA Inputs'!M$54-'CBA Inputs'!M57)*'CBA Inputs'!$J$13*IF(N$143=0,0,1)*'Option inputs'!$F17*N$55</f>
        <v>-10600000</v>
      </c>
      <c r="O146" s="17">
        <f>+('CBA Inputs'!N$54-'CBA Inputs'!N57)*'CBA Inputs'!$J$13*IF(O$143=0,0,1)*'Option inputs'!$F17*O$55</f>
        <v>-10600000</v>
      </c>
      <c r="P146" s="17">
        <f>+('CBA Inputs'!O$54-'CBA Inputs'!O57)*'CBA Inputs'!$J$13*IF(P$143=0,0,1)*'Option inputs'!$F17*P$55</f>
        <v>-10600000</v>
      </c>
      <c r="Q146" s="17">
        <f>+('CBA Inputs'!P$54-'CBA Inputs'!P57)*'CBA Inputs'!$J$13*IF(Q$143=0,0,1)*'Option inputs'!$F17*Q$55</f>
        <v>-10600000</v>
      </c>
      <c r="R146" s="17">
        <f>+('CBA Inputs'!Q$54-'CBA Inputs'!Q57)*'CBA Inputs'!$J$13*IF(R$143=0,0,1)*'Option inputs'!$F17*R$55</f>
        <v>-10600000</v>
      </c>
      <c r="S146" s="17">
        <f>+('CBA Inputs'!R$54-'CBA Inputs'!R57)*'CBA Inputs'!$J$13*IF(S$143=0,0,1)*'Option inputs'!$F17*S$55</f>
        <v>-10600000</v>
      </c>
      <c r="T146" s="17">
        <f>+('CBA Inputs'!S$54-'CBA Inputs'!S57)*'CBA Inputs'!$J$13*IF(T$143=0,0,1)*'Option inputs'!$F17*T$55</f>
        <v>-10600000</v>
      </c>
      <c r="U146" s="17">
        <f>+('CBA Inputs'!T$54-'CBA Inputs'!T57)*'CBA Inputs'!$J$13*IF(U$143=0,0,1)*'Option inputs'!$F17*U$55</f>
        <v>-10600000</v>
      </c>
      <c r="V146" s="17">
        <f>+('CBA Inputs'!U$54-'CBA Inputs'!U57)*'CBA Inputs'!$J$13*IF(V$143=0,0,1)*'Option inputs'!$F17*V$55</f>
        <v>-10600000</v>
      </c>
      <c r="W146" s="17">
        <f>+('CBA Inputs'!V$54-'CBA Inputs'!V57)*'CBA Inputs'!$J$13*IF(W$143=0,0,1)*'Option inputs'!$F17*W$55</f>
        <v>-10600000</v>
      </c>
      <c r="X146" s="17">
        <f>+('CBA Inputs'!W$54-'CBA Inputs'!W57)*'CBA Inputs'!$J$13*IF(X$143=0,0,1)*'Option inputs'!$F17*X$55</f>
        <v>-10600000</v>
      </c>
      <c r="Y146" s="17">
        <f>+('CBA Inputs'!X$54-'CBA Inputs'!X57)*'CBA Inputs'!$J$13*IF(Y$143=0,0,1)*'Option inputs'!$F17*Y$55</f>
        <v>-10600000</v>
      </c>
      <c r="Z146" s="17">
        <f>+('CBA Inputs'!Y$54-'CBA Inputs'!Y57)*'CBA Inputs'!$J$13*IF(Z$143=0,0,1)*'Option inputs'!$F17*Z$55</f>
        <v>-10600000</v>
      </c>
      <c r="AA146" s="17">
        <f>+('CBA Inputs'!Z$54-'CBA Inputs'!Z57)*'CBA Inputs'!$J$13*IF(AA$143=0,0,1)*'Option inputs'!$F17*AA$55</f>
        <v>-10600000</v>
      </c>
      <c r="AB146" s="17">
        <f>+('CBA Inputs'!AA$54-'CBA Inputs'!AA57)*'CBA Inputs'!$J$13*IF(AB$143=0,0,1)*'Option inputs'!$F17*AB$55</f>
        <v>-10600000</v>
      </c>
      <c r="AC146" s="17">
        <f>+('CBA Inputs'!AB$54-'CBA Inputs'!AB57)*'CBA Inputs'!$J$13*IF(AC$143=0,0,1)*'Option inputs'!$F17*AC$55</f>
        <v>-10600000</v>
      </c>
      <c r="AD146" s="17">
        <f>+('CBA Inputs'!AC$54-'CBA Inputs'!AC57)*'CBA Inputs'!$J$13*IF(AD$143=0,0,1)*'Option inputs'!$F17*AD$55</f>
        <v>-10600000</v>
      </c>
      <c r="AE146" s="17">
        <f>+('CBA Inputs'!AD$54-'CBA Inputs'!AD57)*'CBA Inputs'!$J$13*IF(AE$143=0,0,1)*'Option inputs'!$F17*AE$55</f>
        <v>-10600000</v>
      </c>
      <c r="AF146" s="17">
        <f>+('CBA Inputs'!AE$54-'CBA Inputs'!AE57)*'CBA Inputs'!$J$13*IF(AF$143=0,0,1)*'Option inputs'!$F17*AF$55</f>
        <v>-10600000</v>
      </c>
      <c r="AG146" s="17">
        <f>+('CBA Inputs'!AF$54-'CBA Inputs'!AF57)*'CBA Inputs'!$J$13*IF(AG$143=0,0,1)*'Option inputs'!$F17*AG$55</f>
        <v>0</v>
      </c>
      <c r="AH146" s="17">
        <f>+('CBA Inputs'!AG$54-'CBA Inputs'!AG57)*'CBA Inputs'!$J$13*IF(AH$143=0,0,1)*'Option inputs'!$F17*AH$55</f>
        <v>0</v>
      </c>
      <c r="AI146" s="17">
        <f>+('CBA Inputs'!AH$54-'CBA Inputs'!AH57)*'CBA Inputs'!$J$13*IF(AI$143=0,0,1)*'Option inputs'!$F17*AI$55</f>
        <v>0</v>
      </c>
      <c r="AJ146" s="17">
        <f>+('CBA Inputs'!AI$54-'CBA Inputs'!AI57)*'CBA Inputs'!$J$13*IF(AJ$143=0,0,1)*'Option inputs'!$F17*AJ$55</f>
        <v>0</v>
      </c>
    </row>
    <row r="147" spans="2:36" x14ac:dyDescent="0.35">
      <c r="B147" s="9">
        <f>+'Option inputs'!$B$18</f>
        <v>4</v>
      </c>
      <c r="C147" s="14" t="str">
        <f>+'Option inputs'!$C$18</f>
        <v>Option 2A</v>
      </c>
      <c r="D147" s="26"/>
      <c r="E147" s="12" t="s">
        <v>35</v>
      </c>
      <c r="F147" s="18">
        <f t="shared" si="41"/>
        <v>-117436821.06028177</v>
      </c>
      <c r="G147" s="17">
        <f>+('CBA Inputs'!F$54-'CBA Inputs'!F58)*'CBA Inputs'!$J$13*IF(G$143=0,0,1)*'Option inputs'!$F18*G$55</f>
        <v>0</v>
      </c>
      <c r="H147" s="17">
        <f>+('CBA Inputs'!G$54-'CBA Inputs'!G58)*'CBA Inputs'!$J$13*IF(H$143=0,0,1)*'Option inputs'!$F18*H$55</f>
        <v>0</v>
      </c>
      <c r="I147" s="17">
        <f>+('CBA Inputs'!H$54-'CBA Inputs'!H58)*'CBA Inputs'!$J$13*IF(I$143=0,0,1)*'Option inputs'!$F18*I$55</f>
        <v>0</v>
      </c>
      <c r="J147" s="17">
        <f>+('CBA Inputs'!I$54-'CBA Inputs'!I58)*'CBA Inputs'!$J$13*IF(J$143=0,0,1)*'Option inputs'!$F18*J$55</f>
        <v>0</v>
      </c>
      <c r="K147" s="17">
        <f>+('CBA Inputs'!J$54-'CBA Inputs'!J58)*'CBA Inputs'!$J$13*IF(K$143=0,0,1)*'Option inputs'!$F18*K$55</f>
        <v>0</v>
      </c>
      <c r="L147" s="17">
        <f>+('CBA Inputs'!K$54-'CBA Inputs'!K58)*'CBA Inputs'!$J$13*IF(L$143=0,0,1)*'Option inputs'!$F18*L$55</f>
        <v>-12450000</v>
      </c>
      <c r="M147" s="17">
        <f>+('CBA Inputs'!L$54-'CBA Inputs'!L58)*'CBA Inputs'!$J$13*IF(M$143=0,0,1)*'Option inputs'!$F18*M$55</f>
        <v>-12450000</v>
      </c>
      <c r="N147" s="17">
        <f>+('CBA Inputs'!M$54-'CBA Inputs'!M58)*'CBA Inputs'!$J$13*IF(N$143=0,0,1)*'Option inputs'!$F18*N$55</f>
        <v>-12450000</v>
      </c>
      <c r="O147" s="17">
        <f>+('CBA Inputs'!N$54-'CBA Inputs'!N58)*'CBA Inputs'!$J$13*IF(O$143=0,0,1)*'Option inputs'!$F18*O$55</f>
        <v>-12450000</v>
      </c>
      <c r="P147" s="17">
        <f>+('CBA Inputs'!O$54-'CBA Inputs'!O58)*'CBA Inputs'!$J$13*IF(P$143=0,0,1)*'Option inputs'!$F18*P$55</f>
        <v>-12450000</v>
      </c>
      <c r="Q147" s="17">
        <f>+('CBA Inputs'!P$54-'CBA Inputs'!P58)*'CBA Inputs'!$J$13*IF(Q$143=0,0,1)*'Option inputs'!$F18*Q$55</f>
        <v>-12450000</v>
      </c>
      <c r="R147" s="17">
        <f>+('CBA Inputs'!Q$54-'CBA Inputs'!Q58)*'CBA Inputs'!$J$13*IF(R$143=0,0,1)*'Option inputs'!$F18*R$55</f>
        <v>-12450000</v>
      </c>
      <c r="S147" s="17">
        <f>+('CBA Inputs'!R$54-'CBA Inputs'!R58)*'CBA Inputs'!$J$13*IF(S$143=0,0,1)*'Option inputs'!$F18*S$55</f>
        <v>-12450000</v>
      </c>
      <c r="T147" s="17">
        <f>+('CBA Inputs'!S$54-'CBA Inputs'!S58)*'CBA Inputs'!$J$13*IF(T$143=0,0,1)*'Option inputs'!$F18*T$55</f>
        <v>-12450000</v>
      </c>
      <c r="U147" s="17">
        <f>+('CBA Inputs'!T$54-'CBA Inputs'!T58)*'CBA Inputs'!$J$13*IF(U$143=0,0,1)*'Option inputs'!$F18*U$55</f>
        <v>-12450000</v>
      </c>
      <c r="V147" s="17">
        <f>+('CBA Inputs'!U$54-'CBA Inputs'!U58)*'CBA Inputs'!$J$13*IF(V$143=0,0,1)*'Option inputs'!$F18*V$55</f>
        <v>-12450000</v>
      </c>
      <c r="W147" s="17">
        <f>+('CBA Inputs'!V$54-'CBA Inputs'!V58)*'CBA Inputs'!$J$13*IF(W$143=0,0,1)*'Option inputs'!$F18*W$55</f>
        <v>-12450000</v>
      </c>
      <c r="X147" s="17">
        <f>+('CBA Inputs'!W$54-'CBA Inputs'!W58)*'CBA Inputs'!$J$13*IF(X$143=0,0,1)*'Option inputs'!$F18*X$55</f>
        <v>-12450000</v>
      </c>
      <c r="Y147" s="17">
        <f>+('CBA Inputs'!X$54-'CBA Inputs'!X58)*'CBA Inputs'!$J$13*IF(Y$143=0,0,1)*'Option inputs'!$F18*Y$55</f>
        <v>-12450000</v>
      </c>
      <c r="Z147" s="17">
        <f>+('CBA Inputs'!Y$54-'CBA Inputs'!Y58)*'CBA Inputs'!$J$13*IF(Z$143=0,0,1)*'Option inputs'!$F18*Z$55</f>
        <v>-12450000</v>
      </c>
      <c r="AA147" s="17">
        <f>+('CBA Inputs'!Z$54-'CBA Inputs'!Z58)*'CBA Inputs'!$J$13*IF(AA$143=0,0,1)*'Option inputs'!$F18*AA$55</f>
        <v>-12450000</v>
      </c>
      <c r="AB147" s="17">
        <f>+('CBA Inputs'!AA$54-'CBA Inputs'!AA58)*'CBA Inputs'!$J$13*IF(AB$143=0,0,1)*'Option inputs'!$F18*AB$55</f>
        <v>-12450000</v>
      </c>
      <c r="AC147" s="17">
        <f>+('CBA Inputs'!AB$54-'CBA Inputs'!AB58)*'CBA Inputs'!$J$13*IF(AC$143=0,0,1)*'Option inputs'!$F18*AC$55</f>
        <v>-12450000</v>
      </c>
      <c r="AD147" s="17">
        <f>+('CBA Inputs'!AC$54-'CBA Inputs'!AC58)*'CBA Inputs'!$J$13*IF(AD$143=0,0,1)*'Option inputs'!$F18*AD$55</f>
        <v>-12450000</v>
      </c>
      <c r="AE147" s="17">
        <f>+('CBA Inputs'!AD$54-'CBA Inputs'!AD58)*'CBA Inputs'!$J$13*IF(AE$143=0,0,1)*'Option inputs'!$F18*AE$55</f>
        <v>-12450000</v>
      </c>
      <c r="AF147" s="17">
        <f>+('CBA Inputs'!AE$54-'CBA Inputs'!AE58)*'CBA Inputs'!$J$13*IF(AF$143=0,0,1)*'Option inputs'!$F18*AF$55</f>
        <v>-12450000</v>
      </c>
      <c r="AG147" s="17">
        <f>+('CBA Inputs'!AF$54-'CBA Inputs'!AF58)*'CBA Inputs'!$J$13*IF(AG$143=0,0,1)*'Option inputs'!$F18*AG$55</f>
        <v>0</v>
      </c>
      <c r="AH147" s="17">
        <f>+('CBA Inputs'!AG$54-'CBA Inputs'!AG58)*'CBA Inputs'!$J$13*IF(AH$143=0,0,1)*'Option inputs'!$F18*AH$55</f>
        <v>0</v>
      </c>
      <c r="AI147" s="17">
        <f>+('CBA Inputs'!AH$54-'CBA Inputs'!AH58)*'CBA Inputs'!$J$13*IF(AI$143=0,0,1)*'Option inputs'!$F18*AI$55</f>
        <v>0</v>
      </c>
      <c r="AJ147" s="17">
        <f>+('CBA Inputs'!AI$54-'CBA Inputs'!AI58)*'CBA Inputs'!$J$13*IF(AJ$143=0,0,1)*'Option inputs'!$F18*AJ$55</f>
        <v>0</v>
      </c>
    </row>
    <row r="148" spans="2:36" x14ac:dyDescent="0.35">
      <c r="B148" s="9">
        <f>+'Option inputs'!$B$19</f>
        <v>5</v>
      </c>
      <c r="C148" s="14" t="str">
        <f>+'Option inputs'!$C$19</f>
        <v>Option 2B</v>
      </c>
      <c r="D148" s="26"/>
      <c r="E148" s="12" t="s">
        <v>35</v>
      </c>
      <c r="F148" s="18">
        <f t="shared" si="41"/>
        <v>-146861608.44068593</v>
      </c>
      <c r="G148" s="17">
        <f>+('CBA Inputs'!F$54-'CBA Inputs'!F59)*'CBA Inputs'!$J$13*IF(G$143=0,0,1)*'Option inputs'!$F19*G$55</f>
        <v>0</v>
      </c>
      <c r="H148" s="17">
        <f>+('CBA Inputs'!G$54-'CBA Inputs'!G59)*'CBA Inputs'!$J$13*IF(H$143=0,0,1)*'Option inputs'!$F19*H$55</f>
        <v>0</v>
      </c>
      <c r="I148" s="17">
        <f>+('CBA Inputs'!H$54-'CBA Inputs'!H59)*'CBA Inputs'!$J$13*IF(I$143=0,0,1)*'Option inputs'!$F19*I$55</f>
        <v>0</v>
      </c>
      <c r="J148" s="17">
        <f>+('CBA Inputs'!I$54-'CBA Inputs'!I59)*'CBA Inputs'!$J$13*IF(J$143=0,0,1)*'Option inputs'!$F19*J$55</f>
        <v>0</v>
      </c>
      <c r="K148" s="17">
        <f>+('CBA Inputs'!J$54-'CBA Inputs'!J59)*'CBA Inputs'!$J$13*IF(K$143=0,0,1)*'Option inputs'!$F19*K$55</f>
        <v>0</v>
      </c>
      <c r="L148" s="17">
        <f>+('CBA Inputs'!K$54-'CBA Inputs'!K59)*'CBA Inputs'!$J$13*IF(L$143=0,0,1)*'Option inputs'!$F19*L$55</f>
        <v>-14230000</v>
      </c>
      <c r="M148" s="17">
        <f>+('CBA Inputs'!L$54-'CBA Inputs'!L59)*'CBA Inputs'!$J$13*IF(M$143=0,0,1)*'Option inputs'!$F19*M$55</f>
        <v>-14230000</v>
      </c>
      <c r="N148" s="17">
        <f>+('CBA Inputs'!M$54-'CBA Inputs'!M59)*'CBA Inputs'!$J$13*IF(N$143=0,0,1)*'Option inputs'!$F19*N$55</f>
        <v>-14230000</v>
      </c>
      <c r="O148" s="17">
        <f>+('CBA Inputs'!N$54-'CBA Inputs'!N59)*'CBA Inputs'!$J$13*IF(O$143=0,0,1)*'Option inputs'!$F19*O$55</f>
        <v>-14230000</v>
      </c>
      <c r="P148" s="17">
        <f>+('CBA Inputs'!O$54-'CBA Inputs'!O59)*'CBA Inputs'!$J$13*IF(P$143=0,0,1)*'Option inputs'!$F19*P$55</f>
        <v>-14230000</v>
      </c>
      <c r="Q148" s="17">
        <f>+('CBA Inputs'!P$54-'CBA Inputs'!P59)*'CBA Inputs'!$J$13*IF(Q$143=0,0,1)*'Option inputs'!$F19*Q$55</f>
        <v>-16310000</v>
      </c>
      <c r="R148" s="17">
        <f>+('CBA Inputs'!Q$54-'CBA Inputs'!Q59)*'CBA Inputs'!$J$13*IF(R$143=0,0,1)*'Option inputs'!$F19*R$55</f>
        <v>-16310000</v>
      </c>
      <c r="S148" s="17">
        <f>+('CBA Inputs'!R$54-'CBA Inputs'!R59)*'CBA Inputs'!$J$13*IF(S$143=0,0,1)*'Option inputs'!$F19*S$55</f>
        <v>-16310000</v>
      </c>
      <c r="T148" s="17">
        <f>+('CBA Inputs'!S$54-'CBA Inputs'!S59)*'CBA Inputs'!$J$13*IF(T$143=0,0,1)*'Option inputs'!$F19*T$55</f>
        <v>-16310000</v>
      </c>
      <c r="U148" s="17">
        <f>+('CBA Inputs'!T$54-'CBA Inputs'!T59)*'CBA Inputs'!$J$13*IF(U$143=0,0,1)*'Option inputs'!$F19*U$55</f>
        <v>-16310000</v>
      </c>
      <c r="V148" s="17">
        <f>+('CBA Inputs'!U$54-'CBA Inputs'!U59)*'CBA Inputs'!$J$13*IF(V$143=0,0,1)*'Option inputs'!$F19*V$55</f>
        <v>-16310000</v>
      </c>
      <c r="W148" s="17">
        <f>+('CBA Inputs'!V$54-'CBA Inputs'!V59)*'CBA Inputs'!$J$13*IF(W$143=0,0,1)*'Option inputs'!$F19*W$55</f>
        <v>-16310000</v>
      </c>
      <c r="X148" s="17">
        <f>+('CBA Inputs'!W$54-'CBA Inputs'!W59)*'CBA Inputs'!$J$13*IF(X$143=0,0,1)*'Option inputs'!$F19*X$55</f>
        <v>-16310000</v>
      </c>
      <c r="Y148" s="17">
        <f>+('CBA Inputs'!X$54-'CBA Inputs'!X59)*'CBA Inputs'!$J$13*IF(Y$143=0,0,1)*'Option inputs'!$F19*Y$55</f>
        <v>-16310000</v>
      </c>
      <c r="Z148" s="17">
        <f>+('CBA Inputs'!Y$54-'CBA Inputs'!Y59)*'CBA Inputs'!$J$13*IF(Z$143=0,0,1)*'Option inputs'!$F19*Z$55</f>
        <v>-16310000</v>
      </c>
      <c r="AA148" s="17">
        <f>+('CBA Inputs'!Z$54-'CBA Inputs'!Z59)*'CBA Inputs'!$J$13*IF(AA$143=0,0,1)*'Option inputs'!$F19*AA$55</f>
        <v>-16310000</v>
      </c>
      <c r="AB148" s="17">
        <f>+('CBA Inputs'!AA$54-'CBA Inputs'!AA59)*'CBA Inputs'!$J$13*IF(AB$143=0,0,1)*'Option inputs'!$F19*AB$55</f>
        <v>-16310000</v>
      </c>
      <c r="AC148" s="17">
        <f>+('CBA Inputs'!AB$54-'CBA Inputs'!AB59)*'CBA Inputs'!$J$13*IF(AC$143=0,0,1)*'Option inputs'!$F19*AC$55</f>
        <v>-16310000</v>
      </c>
      <c r="AD148" s="17">
        <f>+('CBA Inputs'!AC$54-'CBA Inputs'!AC59)*'CBA Inputs'!$J$13*IF(AD$143=0,0,1)*'Option inputs'!$F19*AD$55</f>
        <v>-16310000</v>
      </c>
      <c r="AE148" s="17">
        <f>+('CBA Inputs'!AD$54-'CBA Inputs'!AD59)*'CBA Inputs'!$J$13*IF(AE$143=0,0,1)*'Option inputs'!$F19*AE$55</f>
        <v>-16310000</v>
      </c>
      <c r="AF148" s="17">
        <f>+('CBA Inputs'!AE$54-'CBA Inputs'!AE59)*'CBA Inputs'!$J$13*IF(AF$143=0,0,1)*'Option inputs'!$F19*AF$55</f>
        <v>-16310000</v>
      </c>
      <c r="AG148" s="17">
        <f>+('CBA Inputs'!AF$54-'CBA Inputs'!AF59)*'CBA Inputs'!$J$13*IF(AG$143=0,0,1)*'Option inputs'!$F19*AG$55</f>
        <v>0</v>
      </c>
      <c r="AH148" s="17">
        <f>+('CBA Inputs'!AG$54-'CBA Inputs'!AG59)*'CBA Inputs'!$J$13*IF(AH$143=0,0,1)*'Option inputs'!$F19*AH$55</f>
        <v>0</v>
      </c>
      <c r="AI148" s="17">
        <f>+('CBA Inputs'!AH$54-'CBA Inputs'!AH59)*'CBA Inputs'!$J$13*IF(AI$143=0,0,1)*'Option inputs'!$F19*AI$55</f>
        <v>0</v>
      </c>
      <c r="AJ148" s="17">
        <f>+('CBA Inputs'!AI$54-'CBA Inputs'!AI59)*'CBA Inputs'!$J$13*IF(AJ$143=0,0,1)*'Option inputs'!$F19*AJ$55</f>
        <v>0</v>
      </c>
    </row>
    <row r="149" spans="2:36" x14ac:dyDescent="0.35">
      <c r="B149" s="9">
        <f>+'Option inputs'!$B$20</f>
        <v>6</v>
      </c>
      <c r="C149" s="14" t="str">
        <f>+'Option inputs'!$C$20</f>
        <v>Option 2C</v>
      </c>
      <c r="D149" s="26"/>
      <c r="E149" s="12" t="s">
        <v>35</v>
      </c>
      <c r="F149" s="18">
        <f t="shared" si="41"/>
        <v>-130831221.53462712</v>
      </c>
      <c r="G149" s="17">
        <f>+('CBA Inputs'!F$54-'CBA Inputs'!F60)*'CBA Inputs'!$J$13*IF(G$143=0,0,1)*'Option inputs'!$F20*G$55</f>
        <v>0</v>
      </c>
      <c r="H149" s="17">
        <f>+('CBA Inputs'!G$54-'CBA Inputs'!G60)*'CBA Inputs'!$J$13*IF(H$143=0,0,1)*'Option inputs'!$F20*H$55</f>
        <v>0</v>
      </c>
      <c r="I149" s="17">
        <f>+('CBA Inputs'!H$54-'CBA Inputs'!H60)*'CBA Inputs'!$J$13*IF(I$143=0,0,1)*'Option inputs'!$F20*I$55</f>
        <v>0</v>
      </c>
      <c r="J149" s="17">
        <f>+('CBA Inputs'!I$54-'CBA Inputs'!I60)*'CBA Inputs'!$J$13*IF(J$143=0,0,1)*'Option inputs'!$F20*J$55</f>
        <v>0</v>
      </c>
      <c r="K149" s="17">
        <f>+('CBA Inputs'!J$54-'CBA Inputs'!J60)*'CBA Inputs'!$J$13*IF(K$143=0,0,1)*'Option inputs'!$F20*K$55</f>
        <v>0</v>
      </c>
      <c r="L149" s="17">
        <f>+('CBA Inputs'!K$54-'CBA Inputs'!K60)*'CBA Inputs'!$J$13*IF(L$143=0,0,1)*'Option inputs'!$F20*L$55</f>
        <v>-13870000</v>
      </c>
      <c r="M149" s="17">
        <f>+('CBA Inputs'!L$54-'CBA Inputs'!L60)*'CBA Inputs'!$J$13*IF(M$143=0,0,1)*'Option inputs'!$F20*M$55</f>
        <v>-13870000</v>
      </c>
      <c r="N149" s="17">
        <f>+('CBA Inputs'!M$54-'CBA Inputs'!M60)*'CBA Inputs'!$J$13*IF(N$143=0,0,1)*'Option inputs'!$F20*N$55</f>
        <v>-13870000</v>
      </c>
      <c r="O149" s="17">
        <f>+('CBA Inputs'!N$54-'CBA Inputs'!N60)*'CBA Inputs'!$J$13*IF(O$143=0,0,1)*'Option inputs'!$F20*O$55</f>
        <v>-13870000</v>
      </c>
      <c r="P149" s="17">
        <f>+('CBA Inputs'!O$54-'CBA Inputs'!O60)*'CBA Inputs'!$J$13*IF(P$143=0,0,1)*'Option inputs'!$F20*P$55</f>
        <v>-13870000</v>
      </c>
      <c r="Q149" s="17">
        <f>+('CBA Inputs'!P$54-'CBA Inputs'!P60)*'CBA Inputs'!$J$13*IF(Q$143=0,0,1)*'Option inputs'!$F20*Q$55</f>
        <v>-13870000</v>
      </c>
      <c r="R149" s="17">
        <f>+('CBA Inputs'!Q$54-'CBA Inputs'!Q60)*'CBA Inputs'!$J$13*IF(R$143=0,0,1)*'Option inputs'!$F20*R$55</f>
        <v>-13870000</v>
      </c>
      <c r="S149" s="17">
        <f>+('CBA Inputs'!R$54-'CBA Inputs'!R60)*'CBA Inputs'!$J$13*IF(S$143=0,0,1)*'Option inputs'!$F20*S$55</f>
        <v>-13870000</v>
      </c>
      <c r="T149" s="17">
        <f>+('CBA Inputs'!S$54-'CBA Inputs'!S60)*'CBA Inputs'!$J$13*IF(T$143=0,0,1)*'Option inputs'!$F20*T$55</f>
        <v>-13870000</v>
      </c>
      <c r="U149" s="17">
        <f>+('CBA Inputs'!T$54-'CBA Inputs'!T60)*'CBA Inputs'!$J$13*IF(U$143=0,0,1)*'Option inputs'!$F20*U$55</f>
        <v>-13870000</v>
      </c>
      <c r="V149" s="17">
        <f>+('CBA Inputs'!U$54-'CBA Inputs'!U60)*'CBA Inputs'!$J$13*IF(V$143=0,0,1)*'Option inputs'!$F20*V$55</f>
        <v>-13870000</v>
      </c>
      <c r="W149" s="17">
        <f>+('CBA Inputs'!V$54-'CBA Inputs'!V60)*'CBA Inputs'!$J$13*IF(W$143=0,0,1)*'Option inputs'!$F20*W$55</f>
        <v>-13870000</v>
      </c>
      <c r="X149" s="17">
        <f>+('CBA Inputs'!W$54-'CBA Inputs'!W60)*'CBA Inputs'!$J$13*IF(X$143=0,0,1)*'Option inputs'!$F20*X$55</f>
        <v>-13870000</v>
      </c>
      <c r="Y149" s="17">
        <f>+('CBA Inputs'!X$54-'CBA Inputs'!X60)*'CBA Inputs'!$J$13*IF(Y$143=0,0,1)*'Option inputs'!$F20*Y$55</f>
        <v>-13870000</v>
      </c>
      <c r="Z149" s="17">
        <f>+('CBA Inputs'!Y$54-'CBA Inputs'!Y60)*'CBA Inputs'!$J$13*IF(Z$143=0,0,1)*'Option inputs'!$F20*Z$55</f>
        <v>-13870000</v>
      </c>
      <c r="AA149" s="17">
        <f>+('CBA Inputs'!Z$54-'CBA Inputs'!Z60)*'CBA Inputs'!$J$13*IF(AA$143=0,0,1)*'Option inputs'!$F20*AA$55</f>
        <v>-13870000</v>
      </c>
      <c r="AB149" s="17">
        <f>+('CBA Inputs'!AA$54-'CBA Inputs'!AA60)*'CBA Inputs'!$J$13*IF(AB$143=0,0,1)*'Option inputs'!$F20*AB$55</f>
        <v>-13870000</v>
      </c>
      <c r="AC149" s="17">
        <f>+('CBA Inputs'!AB$54-'CBA Inputs'!AB60)*'CBA Inputs'!$J$13*IF(AC$143=0,0,1)*'Option inputs'!$F20*AC$55</f>
        <v>-13870000</v>
      </c>
      <c r="AD149" s="17">
        <f>+('CBA Inputs'!AC$54-'CBA Inputs'!AC60)*'CBA Inputs'!$J$13*IF(AD$143=0,0,1)*'Option inputs'!$F20*AD$55</f>
        <v>-13870000</v>
      </c>
      <c r="AE149" s="17">
        <f>+('CBA Inputs'!AD$54-'CBA Inputs'!AD60)*'CBA Inputs'!$J$13*IF(AE$143=0,0,1)*'Option inputs'!$F20*AE$55</f>
        <v>-13870000</v>
      </c>
      <c r="AF149" s="17">
        <f>+('CBA Inputs'!AE$54-'CBA Inputs'!AE60)*'CBA Inputs'!$J$13*IF(AF$143=0,0,1)*'Option inputs'!$F20*AF$55</f>
        <v>-13870000</v>
      </c>
      <c r="AG149" s="17">
        <f>+('CBA Inputs'!AF$54-'CBA Inputs'!AF60)*'CBA Inputs'!$J$13*IF(AG$143=0,0,1)*'Option inputs'!$F20*AG$55</f>
        <v>0</v>
      </c>
      <c r="AH149" s="17">
        <f>+('CBA Inputs'!AG$54-'CBA Inputs'!AG60)*'CBA Inputs'!$J$13*IF(AH$143=0,0,1)*'Option inputs'!$F20*AH$55</f>
        <v>0</v>
      </c>
      <c r="AI149" s="17">
        <f>+('CBA Inputs'!AH$54-'CBA Inputs'!AH60)*'CBA Inputs'!$J$13*IF(AI$143=0,0,1)*'Option inputs'!$F20*AI$55</f>
        <v>0</v>
      </c>
      <c r="AJ149" s="17">
        <f>+('CBA Inputs'!AI$54-'CBA Inputs'!AI60)*'CBA Inputs'!$J$13*IF(AJ$143=0,0,1)*'Option inputs'!$F20*AJ$55</f>
        <v>0</v>
      </c>
    </row>
    <row r="150" spans="2:36" x14ac:dyDescent="0.35">
      <c r="B150" s="9">
        <f>+'Option inputs'!$B$21</f>
        <v>7</v>
      </c>
      <c r="C150" s="14" t="str">
        <f>+'Option inputs'!$C$21</f>
        <v>Option 3A</v>
      </c>
      <c r="D150" s="26"/>
      <c r="E150" s="12" t="s">
        <v>35</v>
      </c>
      <c r="F150" s="18">
        <f t="shared" si="41"/>
        <v>-95647338.59849453</v>
      </c>
      <c r="G150" s="17">
        <f>+('CBA Inputs'!F$54-'CBA Inputs'!F61)*'CBA Inputs'!$J$13*IF(G$143=0,0,1)*'Option inputs'!$F21*G$55</f>
        <v>0</v>
      </c>
      <c r="H150" s="17">
        <f>+('CBA Inputs'!G$54-'CBA Inputs'!G61)*'CBA Inputs'!$J$13*IF(H$143=0,0,1)*'Option inputs'!$F21*H$55</f>
        <v>0</v>
      </c>
      <c r="I150" s="17">
        <f>+('CBA Inputs'!H$54-'CBA Inputs'!H61)*'CBA Inputs'!$J$13*IF(I$143=0,0,1)*'Option inputs'!$F21*I$55</f>
        <v>0</v>
      </c>
      <c r="J150" s="17">
        <f>+('CBA Inputs'!I$54-'CBA Inputs'!I61)*'CBA Inputs'!$J$13*IF(J$143=0,0,1)*'Option inputs'!$F21*J$55</f>
        <v>0</v>
      </c>
      <c r="K150" s="17">
        <f>+('CBA Inputs'!J$54-'CBA Inputs'!J61)*'CBA Inputs'!$J$13*IF(K$143=0,0,1)*'Option inputs'!$F21*K$55</f>
        <v>0</v>
      </c>
      <c r="L150" s="17">
        <f>+('CBA Inputs'!K$54-'CBA Inputs'!K61)*'CBA Inputs'!$J$13*IF(L$143=0,0,1)*'Option inputs'!$F21*L$55</f>
        <v>-10140000</v>
      </c>
      <c r="M150" s="17">
        <f>+('CBA Inputs'!L$54-'CBA Inputs'!L61)*'CBA Inputs'!$J$13*IF(M$143=0,0,1)*'Option inputs'!$F21*M$55</f>
        <v>-10140000</v>
      </c>
      <c r="N150" s="17">
        <f>+('CBA Inputs'!M$54-'CBA Inputs'!M61)*'CBA Inputs'!$J$13*IF(N$143=0,0,1)*'Option inputs'!$F21*N$55</f>
        <v>-10140000</v>
      </c>
      <c r="O150" s="17">
        <f>+('CBA Inputs'!N$54-'CBA Inputs'!N61)*'CBA Inputs'!$J$13*IF(O$143=0,0,1)*'Option inputs'!$F21*O$55</f>
        <v>-10140000</v>
      </c>
      <c r="P150" s="17">
        <f>+('CBA Inputs'!O$54-'CBA Inputs'!O61)*'CBA Inputs'!$J$13*IF(P$143=0,0,1)*'Option inputs'!$F21*P$55</f>
        <v>-10140000</v>
      </c>
      <c r="Q150" s="17">
        <f>+('CBA Inputs'!P$54-'CBA Inputs'!P61)*'CBA Inputs'!$J$13*IF(Q$143=0,0,1)*'Option inputs'!$F21*Q$55</f>
        <v>-10140000</v>
      </c>
      <c r="R150" s="17">
        <f>+('CBA Inputs'!Q$54-'CBA Inputs'!Q61)*'CBA Inputs'!$J$13*IF(R$143=0,0,1)*'Option inputs'!$F21*R$55</f>
        <v>-10140000</v>
      </c>
      <c r="S150" s="17">
        <f>+('CBA Inputs'!R$54-'CBA Inputs'!R61)*'CBA Inputs'!$J$13*IF(S$143=0,0,1)*'Option inputs'!$F21*S$55</f>
        <v>-10140000</v>
      </c>
      <c r="T150" s="17">
        <f>+('CBA Inputs'!S$54-'CBA Inputs'!S61)*'CBA Inputs'!$J$13*IF(T$143=0,0,1)*'Option inputs'!$F21*T$55</f>
        <v>-10140000</v>
      </c>
      <c r="U150" s="17">
        <f>+('CBA Inputs'!T$54-'CBA Inputs'!T61)*'CBA Inputs'!$J$13*IF(U$143=0,0,1)*'Option inputs'!$F21*U$55</f>
        <v>-10140000</v>
      </c>
      <c r="V150" s="17">
        <f>+('CBA Inputs'!U$54-'CBA Inputs'!U61)*'CBA Inputs'!$J$13*IF(V$143=0,0,1)*'Option inputs'!$F21*V$55</f>
        <v>-10140000</v>
      </c>
      <c r="W150" s="17">
        <f>+('CBA Inputs'!V$54-'CBA Inputs'!V61)*'CBA Inputs'!$J$13*IF(W$143=0,0,1)*'Option inputs'!$F21*W$55</f>
        <v>-10140000</v>
      </c>
      <c r="X150" s="17">
        <f>+('CBA Inputs'!W$54-'CBA Inputs'!W61)*'CBA Inputs'!$J$13*IF(X$143=0,0,1)*'Option inputs'!$F21*X$55</f>
        <v>-10140000</v>
      </c>
      <c r="Y150" s="17">
        <f>+('CBA Inputs'!X$54-'CBA Inputs'!X61)*'CBA Inputs'!$J$13*IF(Y$143=0,0,1)*'Option inputs'!$F21*Y$55</f>
        <v>-10140000</v>
      </c>
      <c r="Z150" s="17">
        <f>+('CBA Inputs'!Y$54-'CBA Inputs'!Y61)*'CBA Inputs'!$J$13*IF(Z$143=0,0,1)*'Option inputs'!$F21*Z$55</f>
        <v>-10140000</v>
      </c>
      <c r="AA150" s="17">
        <f>+('CBA Inputs'!Z$54-'CBA Inputs'!Z61)*'CBA Inputs'!$J$13*IF(AA$143=0,0,1)*'Option inputs'!$F21*AA$55</f>
        <v>-10140000</v>
      </c>
      <c r="AB150" s="17">
        <f>+('CBA Inputs'!AA$54-'CBA Inputs'!AA61)*'CBA Inputs'!$J$13*IF(AB$143=0,0,1)*'Option inputs'!$F21*AB$55</f>
        <v>-10140000</v>
      </c>
      <c r="AC150" s="17">
        <f>+('CBA Inputs'!AB$54-'CBA Inputs'!AB61)*'CBA Inputs'!$J$13*IF(AC$143=0,0,1)*'Option inputs'!$F21*AC$55</f>
        <v>-10140000</v>
      </c>
      <c r="AD150" s="17">
        <f>+('CBA Inputs'!AC$54-'CBA Inputs'!AC61)*'CBA Inputs'!$J$13*IF(AD$143=0,0,1)*'Option inputs'!$F21*AD$55</f>
        <v>-10140000</v>
      </c>
      <c r="AE150" s="17">
        <f>+('CBA Inputs'!AD$54-'CBA Inputs'!AD61)*'CBA Inputs'!$J$13*IF(AE$143=0,0,1)*'Option inputs'!$F21*AE$55</f>
        <v>-10140000</v>
      </c>
      <c r="AF150" s="17">
        <f>+('CBA Inputs'!AE$54-'CBA Inputs'!AE61)*'CBA Inputs'!$J$13*IF(AF$143=0,0,1)*'Option inputs'!$F21*AF$55</f>
        <v>-10140000</v>
      </c>
      <c r="AG150" s="17">
        <f>+('CBA Inputs'!AF$54-'CBA Inputs'!AF61)*'CBA Inputs'!$J$13*IF(AG$143=0,0,1)*'Option inputs'!$F21*AG$55</f>
        <v>0</v>
      </c>
      <c r="AH150" s="17">
        <f>+('CBA Inputs'!AG$54-'CBA Inputs'!AG61)*'CBA Inputs'!$J$13*IF(AH$143=0,0,1)*'Option inputs'!$F21*AH$55</f>
        <v>0</v>
      </c>
      <c r="AI150" s="17">
        <f>+('CBA Inputs'!AH$54-'CBA Inputs'!AH61)*'CBA Inputs'!$J$13*IF(AI$143=0,0,1)*'Option inputs'!$F21*AI$55</f>
        <v>0</v>
      </c>
      <c r="AJ150" s="17">
        <f>+('CBA Inputs'!AI$54-'CBA Inputs'!AI61)*'CBA Inputs'!$J$13*IF(AJ$143=0,0,1)*'Option inputs'!$F21*AJ$55</f>
        <v>0</v>
      </c>
    </row>
    <row r="151" spans="2:36" x14ac:dyDescent="0.35">
      <c r="B151" s="9">
        <f>+'Option inputs'!$B$22</f>
        <v>8</v>
      </c>
      <c r="C151" s="14" t="str">
        <f>+'Option inputs'!$C$22</f>
        <v>Option 3B</v>
      </c>
      <c r="D151" s="26"/>
      <c r="E151" s="12" t="s">
        <v>35</v>
      </c>
      <c r="F151" s="18">
        <f t="shared" si="41"/>
        <v>-125256380.09830308</v>
      </c>
      <c r="G151" s="17">
        <f>+('CBA Inputs'!F$54-'CBA Inputs'!F62)*'CBA Inputs'!$J$13*IF(G$143=0,0,1)*'Option inputs'!$F22*G$55</f>
        <v>0</v>
      </c>
      <c r="H151" s="17">
        <f>+('CBA Inputs'!G$54-'CBA Inputs'!G62)*'CBA Inputs'!$J$13*IF(H$143=0,0,1)*'Option inputs'!$F22*H$55</f>
        <v>0</v>
      </c>
      <c r="I151" s="17">
        <f>+('CBA Inputs'!H$54-'CBA Inputs'!H62)*'CBA Inputs'!$J$13*IF(I$143=0,0,1)*'Option inputs'!$F22*I$55</f>
        <v>0</v>
      </c>
      <c r="J151" s="17">
        <f>+('CBA Inputs'!I$54-'CBA Inputs'!I62)*'CBA Inputs'!$J$13*IF(J$143=0,0,1)*'Option inputs'!$F22*J$55</f>
        <v>0</v>
      </c>
      <c r="K151" s="17">
        <f>+('CBA Inputs'!J$54-'CBA Inputs'!J62)*'CBA Inputs'!$J$13*IF(K$143=0,0,1)*'Option inputs'!$F22*K$55</f>
        <v>0</v>
      </c>
      <c r="L151" s="17">
        <f>+('CBA Inputs'!K$54-'CBA Inputs'!K62)*'CBA Inputs'!$J$13*IF(L$143=0,0,1)*'Option inputs'!$F22*L$55</f>
        <v>-12210000</v>
      </c>
      <c r="M151" s="17">
        <f>+('CBA Inputs'!L$54-'CBA Inputs'!L62)*'CBA Inputs'!$J$13*IF(M$143=0,0,1)*'Option inputs'!$F22*M$55</f>
        <v>-12210000</v>
      </c>
      <c r="N151" s="17">
        <f>+('CBA Inputs'!M$54-'CBA Inputs'!M62)*'CBA Inputs'!$J$13*IF(N$143=0,0,1)*'Option inputs'!$F22*N$55</f>
        <v>-12210000</v>
      </c>
      <c r="O151" s="17">
        <f>+('CBA Inputs'!N$54-'CBA Inputs'!N62)*'CBA Inputs'!$J$13*IF(O$143=0,0,1)*'Option inputs'!$F22*O$55</f>
        <v>-12210000</v>
      </c>
      <c r="P151" s="17">
        <f>+('CBA Inputs'!O$54-'CBA Inputs'!O62)*'CBA Inputs'!$J$13*IF(P$143=0,0,1)*'Option inputs'!$F22*P$55</f>
        <v>-12210000</v>
      </c>
      <c r="Q151" s="17">
        <f>+('CBA Inputs'!P$54-'CBA Inputs'!P62)*'CBA Inputs'!$J$13*IF(Q$143=0,0,1)*'Option inputs'!$F22*Q$55</f>
        <v>-13870000</v>
      </c>
      <c r="R151" s="17">
        <f>+('CBA Inputs'!Q$54-'CBA Inputs'!Q62)*'CBA Inputs'!$J$13*IF(R$143=0,0,1)*'Option inputs'!$F22*R$55</f>
        <v>-13870000</v>
      </c>
      <c r="S151" s="17">
        <f>+('CBA Inputs'!R$54-'CBA Inputs'!R62)*'CBA Inputs'!$J$13*IF(S$143=0,0,1)*'Option inputs'!$F22*S$55</f>
        <v>-13870000</v>
      </c>
      <c r="T151" s="17">
        <f>+('CBA Inputs'!S$54-'CBA Inputs'!S62)*'CBA Inputs'!$J$13*IF(T$143=0,0,1)*'Option inputs'!$F22*T$55</f>
        <v>-13870000</v>
      </c>
      <c r="U151" s="17">
        <f>+('CBA Inputs'!T$54-'CBA Inputs'!T62)*'CBA Inputs'!$J$13*IF(U$143=0,0,1)*'Option inputs'!$F22*U$55</f>
        <v>-13870000</v>
      </c>
      <c r="V151" s="17">
        <f>+('CBA Inputs'!U$54-'CBA Inputs'!U62)*'CBA Inputs'!$J$13*IF(V$143=0,0,1)*'Option inputs'!$F22*V$55</f>
        <v>-13870000</v>
      </c>
      <c r="W151" s="17">
        <f>+('CBA Inputs'!V$54-'CBA Inputs'!V62)*'CBA Inputs'!$J$13*IF(W$143=0,0,1)*'Option inputs'!$F22*W$55</f>
        <v>-13870000</v>
      </c>
      <c r="X151" s="17">
        <f>+('CBA Inputs'!W$54-'CBA Inputs'!W62)*'CBA Inputs'!$J$13*IF(X$143=0,0,1)*'Option inputs'!$F22*X$55</f>
        <v>-13870000</v>
      </c>
      <c r="Y151" s="17">
        <f>+('CBA Inputs'!X$54-'CBA Inputs'!X62)*'CBA Inputs'!$J$13*IF(Y$143=0,0,1)*'Option inputs'!$F22*Y$55</f>
        <v>-13870000</v>
      </c>
      <c r="Z151" s="17">
        <f>+('CBA Inputs'!Y$54-'CBA Inputs'!Y62)*'CBA Inputs'!$J$13*IF(Z$143=0,0,1)*'Option inputs'!$F22*Z$55</f>
        <v>-13870000</v>
      </c>
      <c r="AA151" s="17">
        <f>+('CBA Inputs'!Z$54-'CBA Inputs'!Z62)*'CBA Inputs'!$J$13*IF(AA$143=0,0,1)*'Option inputs'!$F22*AA$55</f>
        <v>-13870000</v>
      </c>
      <c r="AB151" s="17">
        <f>+('CBA Inputs'!AA$54-'CBA Inputs'!AA62)*'CBA Inputs'!$J$13*IF(AB$143=0,0,1)*'Option inputs'!$F22*AB$55</f>
        <v>-13870000</v>
      </c>
      <c r="AC151" s="17">
        <f>+('CBA Inputs'!AB$54-'CBA Inputs'!AB62)*'CBA Inputs'!$J$13*IF(AC$143=0,0,1)*'Option inputs'!$F22*AC$55</f>
        <v>-13870000</v>
      </c>
      <c r="AD151" s="17">
        <f>+('CBA Inputs'!AC$54-'CBA Inputs'!AC62)*'CBA Inputs'!$J$13*IF(AD$143=0,0,1)*'Option inputs'!$F22*AD$55</f>
        <v>-13870000</v>
      </c>
      <c r="AE151" s="17">
        <f>+('CBA Inputs'!AD$54-'CBA Inputs'!AD62)*'CBA Inputs'!$J$13*IF(AE$143=0,0,1)*'Option inputs'!$F22*AE$55</f>
        <v>-13870000</v>
      </c>
      <c r="AF151" s="17">
        <f>+('CBA Inputs'!AE$54-'CBA Inputs'!AE62)*'CBA Inputs'!$J$13*IF(AF$143=0,0,1)*'Option inputs'!$F22*AF$55</f>
        <v>-13870000</v>
      </c>
      <c r="AG151" s="17">
        <f>+('CBA Inputs'!AF$54-'CBA Inputs'!AF62)*'CBA Inputs'!$J$13*IF(AG$143=0,0,1)*'Option inputs'!$F22*AG$55</f>
        <v>0</v>
      </c>
      <c r="AH151" s="17">
        <f>+('CBA Inputs'!AG$54-'CBA Inputs'!AG62)*'CBA Inputs'!$J$13*IF(AH$143=0,0,1)*'Option inputs'!$F22*AH$55</f>
        <v>0</v>
      </c>
      <c r="AI151" s="17">
        <f>+('CBA Inputs'!AH$54-'CBA Inputs'!AH62)*'CBA Inputs'!$J$13*IF(AI$143=0,0,1)*'Option inputs'!$F22*AI$55</f>
        <v>0</v>
      </c>
      <c r="AJ151" s="17">
        <f>+('CBA Inputs'!AI$54-'CBA Inputs'!AI62)*'CBA Inputs'!$J$13*IF(AJ$143=0,0,1)*'Option inputs'!$F22*AJ$55</f>
        <v>0</v>
      </c>
    </row>
    <row r="152" spans="2:36" x14ac:dyDescent="0.35">
      <c r="B152" s="9">
        <f>+'Option inputs'!$B$23</f>
        <v>9</v>
      </c>
      <c r="C152" s="14" t="str">
        <f>+'Option inputs'!$C$23</f>
        <v>Option 3C</v>
      </c>
      <c r="D152" s="26"/>
      <c r="E152" s="12" t="s">
        <v>35</v>
      </c>
      <c r="F152" s="18">
        <f t="shared" si="41"/>
        <v>-127812765.08970425</v>
      </c>
      <c r="G152" s="17">
        <f>+('CBA Inputs'!F$54-'CBA Inputs'!F63)*'CBA Inputs'!$J$13*IF(G$143=0,0,1)*'Option inputs'!$F23*G$55</f>
        <v>0</v>
      </c>
      <c r="H152" s="17">
        <f>+('CBA Inputs'!G$54-'CBA Inputs'!G63)*'CBA Inputs'!$J$13*IF(H$143=0,0,1)*'Option inputs'!$F23*H$55</f>
        <v>0</v>
      </c>
      <c r="I152" s="17">
        <f>+('CBA Inputs'!H$54-'CBA Inputs'!H63)*'CBA Inputs'!$J$13*IF(I$143=0,0,1)*'Option inputs'!$F23*I$55</f>
        <v>0</v>
      </c>
      <c r="J152" s="17">
        <f>+('CBA Inputs'!I$54-'CBA Inputs'!I63)*'CBA Inputs'!$J$13*IF(J$143=0,0,1)*'Option inputs'!$F23*J$55</f>
        <v>0</v>
      </c>
      <c r="K152" s="17">
        <f>+('CBA Inputs'!J$54-'CBA Inputs'!J63)*'CBA Inputs'!$J$13*IF(K$143=0,0,1)*'Option inputs'!$F23*K$55</f>
        <v>0</v>
      </c>
      <c r="L152" s="17">
        <f>+('CBA Inputs'!K$54-'CBA Inputs'!K63)*'CBA Inputs'!$J$13*IF(L$143=0,0,1)*'Option inputs'!$F23*L$55</f>
        <v>-13550000</v>
      </c>
      <c r="M152" s="17">
        <f>+('CBA Inputs'!L$54-'CBA Inputs'!L63)*'CBA Inputs'!$J$13*IF(M$143=0,0,1)*'Option inputs'!$F23*M$55</f>
        <v>-13550000</v>
      </c>
      <c r="N152" s="17">
        <f>+('CBA Inputs'!M$54-'CBA Inputs'!M63)*'CBA Inputs'!$J$13*IF(N$143=0,0,1)*'Option inputs'!$F23*N$55</f>
        <v>-13550000</v>
      </c>
      <c r="O152" s="17">
        <f>+('CBA Inputs'!N$54-'CBA Inputs'!N63)*'CBA Inputs'!$J$13*IF(O$143=0,0,1)*'Option inputs'!$F23*O$55</f>
        <v>-13550000</v>
      </c>
      <c r="P152" s="17">
        <f>+('CBA Inputs'!O$54-'CBA Inputs'!O63)*'CBA Inputs'!$J$13*IF(P$143=0,0,1)*'Option inputs'!$F23*P$55</f>
        <v>-13550000</v>
      </c>
      <c r="Q152" s="17">
        <f>+('CBA Inputs'!P$54-'CBA Inputs'!P63)*'CBA Inputs'!$J$13*IF(Q$143=0,0,1)*'Option inputs'!$F23*Q$55</f>
        <v>-13550000</v>
      </c>
      <c r="R152" s="17">
        <f>+('CBA Inputs'!Q$54-'CBA Inputs'!Q63)*'CBA Inputs'!$J$13*IF(R$143=0,0,1)*'Option inputs'!$F23*R$55</f>
        <v>-13550000</v>
      </c>
      <c r="S152" s="17">
        <f>+('CBA Inputs'!R$54-'CBA Inputs'!R63)*'CBA Inputs'!$J$13*IF(S$143=0,0,1)*'Option inputs'!$F23*S$55</f>
        <v>-13550000</v>
      </c>
      <c r="T152" s="17">
        <f>+('CBA Inputs'!S$54-'CBA Inputs'!S63)*'CBA Inputs'!$J$13*IF(T$143=0,0,1)*'Option inputs'!$F23*T$55</f>
        <v>-13550000</v>
      </c>
      <c r="U152" s="17">
        <f>+('CBA Inputs'!T$54-'CBA Inputs'!T63)*'CBA Inputs'!$J$13*IF(U$143=0,0,1)*'Option inputs'!$F23*U$55</f>
        <v>-13550000</v>
      </c>
      <c r="V152" s="17">
        <f>+('CBA Inputs'!U$54-'CBA Inputs'!U63)*'CBA Inputs'!$J$13*IF(V$143=0,0,1)*'Option inputs'!$F23*V$55</f>
        <v>-13550000</v>
      </c>
      <c r="W152" s="17">
        <f>+('CBA Inputs'!V$54-'CBA Inputs'!V63)*'CBA Inputs'!$J$13*IF(W$143=0,0,1)*'Option inputs'!$F23*W$55</f>
        <v>-13550000</v>
      </c>
      <c r="X152" s="17">
        <f>+('CBA Inputs'!W$54-'CBA Inputs'!W63)*'CBA Inputs'!$J$13*IF(X$143=0,0,1)*'Option inputs'!$F23*X$55</f>
        <v>-13550000</v>
      </c>
      <c r="Y152" s="17">
        <f>+('CBA Inputs'!X$54-'CBA Inputs'!X63)*'CBA Inputs'!$J$13*IF(Y$143=0,0,1)*'Option inputs'!$F23*Y$55</f>
        <v>-13550000</v>
      </c>
      <c r="Z152" s="17">
        <f>+('CBA Inputs'!Y$54-'CBA Inputs'!Y63)*'CBA Inputs'!$J$13*IF(Z$143=0,0,1)*'Option inputs'!$F23*Z$55</f>
        <v>-13550000</v>
      </c>
      <c r="AA152" s="17">
        <f>+('CBA Inputs'!Z$54-'CBA Inputs'!Z63)*'CBA Inputs'!$J$13*IF(AA$143=0,0,1)*'Option inputs'!$F23*AA$55</f>
        <v>-13550000</v>
      </c>
      <c r="AB152" s="17">
        <f>+('CBA Inputs'!AA$54-'CBA Inputs'!AA63)*'CBA Inputs'!$J$13*IF(AB$143=0,0,1)*'Option inputs'!$F23*AB$55</f>
        <v>-13550000</v>
      </c>
      <c r="AC152" s="17">
        <f>+('CBA Inputs'!AB$54-'CBA Inputs'!AB63)*'CBA Inputs'!$J$13*IF(AC$143=0,0,1)*'Option inputs'!$F23*AC$55</f>
        <v>-13550000</v>
      </c>
      <c r="AD152" s="17">
        <f>+('CBA Inputs'!AC$54-'CBA Inputs'!AC63)*'CBA Inputs'!$J$13*IF(AD$143=0,0,1)*'Option inputs'!$F23*AD$55</f>
        <v>-13550000</v>
      </c>
      <c r="AE152" s="17">
        <f>+('CBA Inputs'!AD$54-'CBA Inputs'!AD63)*'CBA Inputs'!$J$13*IF(AE$143=0,0,1)*'Option inputs'!$F23*AE$55</f>
        <v>-13550000</v>
      </c>
      <c r="AF152" s="17">
        <f>+('CBA Inputs'!AE$54-'CBA Inputs'!AE63)*'CBA Inputs'!$J$13*IF(AF$143=0,0,1)*'Option inputs'!$F23*AF$55</f>
        <v>-13550000</v>
      </c>
      <c r="AG152" s="17">
        <f>+('CBA Inputs'!AF$54-'CBA Inputs'!AF63)*'CBA Inputs'!$J$13*IF(AG$143=0,0,1)*'Option inputs'!$F23*AG$55</f>
        <v>0</v>
      </c>
      <c r="AH152" s="17">
        <f>+('CBA Inputs'!AG$54-'CBA Inputs'!AG63)*'CBA Inputs'!$J$13*IF(AH$143=0,0,1)*'Option inputs'!$F23*AH$55</f>
        <v>0</v>
      </c>
      <c r="AI152" s="17">
        <f>+('CBA Inputs'!AH$54-'CBA Inputs'!AH63)*'CBA Inputs'!$J$13*IF(AI$143=0,0,1)*'Option inputs'!$F23*AI$55</f>
        <v>0</v>
      </c>
      <c r="AJ152" s="17">
        <f>+('CBA Inputs'!AI$54-'CBA Inputs'!AI63)*'CBA Inputs'!$J$13*IF(AJ$143=0,0,1)*'Option inputs'!$F23*AJ$55</f>
        <v>0</v>
      </c>
    </row>
    <row r="153" spans="2:36" x14ac:dyDescent="0.35">
      <c r="B153" s="9">
        <f>+'Option inputs'!$B$24</f>
        <v>10</v>
      </c>
      <c r="C153" s="14" t="str">
        <f>+'Option inputs'!$C$24</f>
        <v>Option 4A</v>
      </c>
      <c r="D153" s="26"/>
      <c r="E153" s="12" t="s">
        <v>35</v>
      </c>
      <c r="F153" s="18">
        <f t="shared" si="41"/>
        <v>-123176416.95998624</v>
      </c>
      <c r="G153" s="17">
        <f>+('CBA Inputs'!F$54-'CBA Inputs'!F64)*'CBA Inputs'!$J$13*IF(G$143=0,0,1)*'Option inputs'!$F24*G$55</f>
        <v>0</v>
      </c>
      <c r="H153" s="17">
        <f>+('CBA Inputs'!G$54-'CBA Inputs'!G64)*'CBA Inputs'!$J$13*IF(H$143=0,0,1)*'Option inputs'!$F24*H$55</f>
        <v>0</v>
      </c>
      <c r="I153" s="17">
        <f>+('CBA Inputs'!H$54-'CBA Inputs'!H64)*'CBA Inputs'!$J$13*IF(I$143=0,0,1)*'Option inputs'!$F24*I$55</f>
        <v>0</v>
      </c>
      <c r="J153" s="17">
        <f>+('CBA Inputs'!I$54-'CBA Inputs'!I64)*'CBA Inputs'!$J$13*IF(J$143=0,0,1)*'Option inputs'!$F24*J$55</f>
        <v>0</v>
      </c>
      <c r="K153" s="17">
        <f>+('CBA Inputs'!J$54-'CBA Inputs'!J64)*'CBA Inputs'!$J$13*IF(K$143=0,0,1)*'Option inputs'!$F24*K$55</f>
        <v>0</v>
      </c>
      <c r="L153" s="17">
        <f>+('CBA Inputs'!K$54-'CBA Inputs'!K64)*'CBA Inputs'!$J$13*IF(L$143=0,0,1)*'Option inputs'!$F24*L$55</f>
        <v>-10150000</v>
      </c>
      <c r="M153" s="17">
        <f>+('CBA Inputs'!L$54-'CBA Inputs'!L64)*'CBA Inputs'!$J$13*IF(M$143=0,0,1)*'Option inputs'!$F24*M$55</f>
        <v>-13310000</v>
      </c>
      <c r="N153" s="17">
        <f>+('CBA Inputs'!M$54-'CBA Inputs'!M64)*'CBA Inputs'!$J$13*IF(N$143=0,0,1)*'Option inputs'!$F24*N$55</f>
        <v>-13310000</v>
      </c>
      <c r="O153" s="17">
        <f>+('CBA Inputs'!N$54-'CBA Inputs'!N64)*'CBA Inputs'!$J$13*IF(O$143=0,0,1)*'Option inputs'!$F24*O$55</f>
        <v>-13310000</v>
      </c>
      <c r="P153" s="17">
        <f>+('CBA Inputs'!O$54-'CBA Inputs'!O64)*'CBA Inputs'!$J$13*IF(P$143=0,0,1)*'Option inputs'!$F24*P$55</f>
        <v>-13310000</v>
      </c>
      <c r="Q153" s="17">
        <f>+('CBA Inputs'!P$54-'CBA Inputs'!P64)*'CBA Inputs'!$J$13*IF(Q$143=0,0,1)*'Option inputs'!$F24*Q$55</f>
        <v>-13310000</v>
      </c>
      <c r="R153" s="17">
        <f>+('CBA Inputs'!Q$54-'CBA Inputs'!Q64)*'CBA Inputs'!$J$13*IF(R$143=0,0,1)*'Option inputs'!$F24*R$55</f>
        <v>-13310000</v>
      </c>
      <c r="S153" s="17">
        <f>+('CBA Inputs'!R$54-'CBA Inputs'!R64)*'CBA Inputs'!$J$13*IF(S$143=0,0,1)*'Option inputs'!$F24*S$55</f>
        <v>-13310000</v>
      </c>
      <c r="T153" s="17">
        <f>+('CBA Inputs'!S$54-'CBA Inputs'!S64)*'CBA Inputs'!$J$13*IF(T$143=0,0,1)*'Option inputs'!$F24*T$55</f>
        <v>-13310000</v>
      </c>
      <c r="U153" s="17">
        <f>+('CBA Inputs'!T$54-'CBA Inputs'!T64)*'CBA Inputs'!$J$13*IF(U$143=0,0,1)*'Option inputs'!$F24*U$55</f>
        <v>-13310000</v>
      </c>
      <c r="V153" s="17">
        <f>+('CBA Inputs'!U$54-'CBA Inputs'!U64)*'CBA Inputs'!$J$13*IF(V$143=0,0,1)*'Option inputs'!$F24*V$55</f>
        <v>-13310000</v>
      </c>
      <c r="W153" s="17">
        <f>+('CBA Inputs'!V$54-'CBA Inputs'!V64)*'CBA Inputs'!$J$13*IF(W$143=0,0,1)*'Option inputs'!$F24*W$55</f>
        <v>-13310000</v>
      </c>
      <c r="X153" s="17">
        <f>+('CBA Inputs'!W$54-'CBA Inputs'!W64)*'CBA Inputs'!$J$13*IF(X$143=0,0,1)*'Option inputs'!$F24*X$55</f>
        <v>-13310000</v>
      </c>
      <c r="Y153" s="17">
        <f>+('CBA Inputs'!X$54-'CBA Inputs'!X64)*'CBA Inputs'!$J$13*IF(Y$143=0,0,1)*'Option inputs'!$F24*Y$55</f>
        <v>-13310000</v>
      </c>
      <c r="Z153" s="17">
        <f>+('CBA Inputs'!Y$54-'CBA Inputs'!Y64)*'CBA Inputs'!$J$13*IF(Z$143=0,0,1)*'Option inputs'!$F24*Z$55</f>
        <v>-13310000</v>
      </c>
      <c r="AA153" s="17">
        <f>+('CBA Inputs'!Z$54-'CBA Inputs'!Z64)*'CBA Inputs'!$J$13*IF(AA$143=0,0,1)*'Option inputs'!$F24*AA$55</f>
        <v>-13310000</v>
      </c>
      <c r="AB153" s="17">
        <f>+('CBA Inputs'!AA$54-'CBA Inputs'!AA64)*'CBA Inputs'!$J$13*IF(AB$143=0,0,1)*'Option inputs'!$F24*AB$55</f>
        <v>-13310000</v>
      </c>
      <c r="AC153" s="17">
        <f>+('CBA Inputs'!AB$54-'CBA Inputs'!AB64)*'CBA Inputs'!$J$13*IF(AC$143=0,0,1)*'Option inputs'!$F24*AC$55</f>
        <v>-13310000</v>
      </c>
      <c r="AD153" s="17">
        <f>+('CBA Inputs'!AC$54-'CBA Inputs'!AC64)*'CBA Inputs'!$J$13*IF(AD$143=0,0,1)*'Option inputs'!$F24*AD$55</f>
        <v>-13310000</v>
      </c>
      <c r="AE153" s="17">
        <f>+('CBA Inputs'!AD$54-'CBA Inputs'!AD64)*'CBA Inputs'!$J$13*IF(AE$143=0,0,1)*'Option inputs'!$F24*AE$55</f>
        <v>-13310000</v>
      </c>
      <c r="AF153" s="17">
        <f>+('CBA Inputs'!AE$54-'CBA Inputs'!AE64)*'CBA Inputs'!$J$13*IF(AF$143=0,0,1)*'Option inputs'!$F24*AF$55</f>
        <v>-13310000</v>
      </c>
      <c r="AG153" s="17">
        <f>+('CBA Inputs'!AF$54-'CBA Inputs'!AF64)*'CBA Inputs'!$J$13*IF(AG$143=0,0,1)*'Option inputs'!$F24*AG$55</f>
        <v>0</v>
      </c>
      <c r="AH153" s="17">
        <f>+('CBA Inputs'!AG$54-'CBA Inputs'!AG64)*'CBA Inputs'!$J$13*IF(AH$143=0,0,1)*'Option inputs'!$F24*AH$55</f>
        <v>0</v>
      </c>
      <c r="AI153" s="17">
        <f>+('CBA Inputs'!AH$54-'CBA Inputs'!AH64)*'CBA Inputs'!$J$13*IF(AI$143=0,0,1)*'Option inputs'!$F24*AI$55</f>
        <v>0</v>
      </c>
      <c r="AJ153" s="17">
        <f>+('CBA Inputs'!AI$54-'CBA Inputs'!AI64)*'CBA Inputs'!$J$13*IF(AJ$143=0,0,1)*'Option inputs'!$F24*AJ$55</f>
        <v>0</v>
      </c>
    </row>
    <row r="154" spans="2:36" x14ac:dyDescent="0.35">
      <c r="B154" s="9">
        <f>+'Option inputs'!$B$25</f>
        <v>11</v>
      </c>
      <c r="C154" s="14" t="str">
        <f>+'Option inputs'!$C$25</f>
        <v>Option 4B</v>
      </c>
      <c r="D154" s="26"/>
      <c r="E154" s="12" t="s">
        <v>35</v>
      </c>
      <c r="F154" s="18">
        <f t="shared" si="41"/>
        <v>-166662515.06094363</v>
      </c>
      <c r="G154" s="17">
        <f>+('CBA Inputs'!F$54-'CBA Inputs'!F65)*'CBA Inputs'!$J$13*IF(G$143=0,0,1)*'Option inputs'!$F25*G$55</f>
        <v>0</v>
      </c>
      <c r="H154" s="17">
        <f>+('CBA Inputs'!G$54-'CBA Inputs'!G65)*'CBA Inputs'!$J$13*IF(H$143=0,0,1)*'Option inputs'!$F25*H$55</f>
        <v>0</v>
      </c>
      <c r="I154" s="17">
        <f>+('CBA Inputs'!H$54-'CBA Inputs'!H65)*'CBA Inputs'!$J$13*IF(I$143=0,0,1)*'Option inputs'!$F25*I$55</f>
        <v>0</v>
      </c>
      <c r="J154" s="17">
        <f>+('CBA Inputs'!I$54-'CBA Inputs'!I65)*'CBA Inputs'!$J$13*IF(J$143=0,0,1)*'Option inputs'!$F25*J$55</f>
        <v>0</v>
      </c>
      <c r="K154" s="17">
        <f>+('CBA Inputs'!J$54-'CBA Inputs'!J65)*'CBA Inputs'!$J$13*IF(K$143=0,0,1)*'Option inputs'!$F25*K$55</f>
        <v>0</v>
      </c>
      <c r="L154" s="17">
        <f>+('CBA Inputs'!K$54-'CBA Inputs'!K65)*'CBA Inputs'!$J$13*IF(L$143=0,0,1)*'Option inputs'!$F25*L$55</f>
        <v>-12220000</v>
      </c>
      <c r="M154" s="17">
        <f>+('CBA Inputs'!L$54-'CBA Inputs'!L65)*'CBA Inputs'!$J$13*IF(M$143=0,0,1)*'Option inputs'!$F25*M$55</f>
        <v>-15740000</v>
      </c>
      <c r="N154" s="17">
        <f>+('CBA Inputs'!M$54-'CBA Inputs'!M65)*'CBA Inputs'!$J$13*IF(N$143=0,0,1)*'Option inputs'!$F25*N$55</f>
        <v>-15740000</v>
      </c>
      <c r="O154" s="17">
        <f>+('CBA Inputs'!N$54-'CBA Inputs'!N65)*'CBA Inputs'!$J$13*IF(O$143=0,0,1)*'Option inputs'!$F25*O$55</f>
        <v>-15740000</v>
      </c>
      <c r="P154" s="17">
        <f>+('CBA Inputs'!O$54-'CBA Inputs'!O65)*'CBA Inputs'!$J$13*IF(P$143=0,0,1)*'Option inputs'!$F25*P$55</f>
        <v>-15740000</v>
      </c>
      <c r="Q154" s="17">
        <f>+('CBA Inputs'!P$54-'CBA Inputs'!P65)*'CBA Inputs'!$J$13*IF(Q$143=0,0,1)*'Option inputs'!$F25*Q$55</f>
        <v>-19170000</v>
      </c>
      <c r="R154" s="17">
        <f>+('CBA Inputs'!Q$54-'CBA Inputs'!Q65)*'CBA Inputs'!$J$13*IF(R$143=0,0,1)*'Option inputs'!$F25*R$55</f>
        <v>-19170000</v>
      </c>
      <c r="S154" s="17">
        <f>+('CBA Inputs'!R$54-'CBA Inputs'!R65)*'CBA Inputs'!$J$13*IF(S$143=0,0,1)*'Option inputs'!$F25*S$55</f>
        <v>-19170000</v>
      </c>
      <c r="T154" s="17">
        <f>+('CBA Inputs'!S$54-'CBA Inputs'!S65)*'CBA Inputs'!$J$13*IF(T$143=0,0,1)*'Option inputs'!$F25*T$55</f>
        <v>-19170000</v>
      </c>
      <c r="U154" s="17">
        <f>+('CBA Inputs'!T$54-'CBA Inputs'!T65)*'CBA Inputs'!$J$13*IF(U$143=0,0,1)*'Option inputs'!$F25*U$55</f>
        <v>-19170000</v>
      </c>
      <c r="V154" s="17">
        <f>+('CBA Inputs'!U$54-'CBA Inputs'!U65)*'CBA Inputs'!$J$13*IF(V$143=0,0,1)*'Option inputs'!$F25*V$55</f>
        <v>-19170000</v>
      </c>
      <c r="W154" s="17">
        <f>+('CBA Inputs'!V$54-'CBA Inputs'!V65)*'CBA Inputs'!$J$13*IF(W$143=0,0,1)*'Option inputs'!$F25*W$55</f>
        <v>-19170000</v>
      </c>
      <c r="X154" s="17">
        <f>+('CBA Inputs'!W$54-'CBA Inputs'!W65)*'CBA Inputs'!$J$13*IF(X$143=0,0,1)*'Option inputs'!$F25*X$55</f>
        <v>-19170000</v>
      </c>
      <c r="Y154" s="17">
        <f>+('CBA Inputs'!X$54-'CBA Inputs'!X65)*'CBA Inputs'!$J$13*IF(Y$143=0,0,1)*'Option inputs'!$F25*Y$55</f>
        <v>-19170000</v>
      </c>
      <c r="Z154" s="17">
        <f>+('CBA Inputs'!Y$54-'CBA Inputs'!Y65)*'CBA Inputs'!$J$13*IF(Z$143=0,0,1)*'Option inputs'!$F25*Z$55</f>
        <v>-19170000</v>
      </c>
      <c r="AA154" s="17">
        <f>+('CBA Inputs'!Z$54-'CBA Inputs'!Z65)*'CBA Inputs'!$J$13*IF(AA$143=0,0,1)*'Option inputs'!$F25*AA$55</f>
        <v>-19170000</v>
      </c>
      <c r="AB154" s="17">
        <f>+('CBA Inputs'!AA$54-'CBA Inputs'!AA65)*'CBA Inputs'!$J$13*IF(AB$143=0,0,1)*'Option inputs'!$F25*AB$55</f>
        <v>-19170000</v>
      </c>
      <c r="AC154" s="17">
        <f>+('CBA Inputs'!AB$54-'CBA Inputs'!AB65)*'CBA Inputs'!$J$13*IF(AC$143=0,0,1)*'Option inputs'!$F25*AC$55</f>
        <v>-19170000</v>
      </c>
      <c r="AD154" s="17">
        <f>+('CBA Inputs'!AC$54-'CBA Inputs'!AC65)*'CBA Inputs'!$J$13*IF(AD$143=0,0,1)*'Option inputs'!$F25*AD$55</f>
        <v>-19170000</v>
      </c>
      <c r="AE154" s="17">
        <f>+('CBA Inputs'!AD$54-'CBA Inputs'!AD65)*'CBA Inputs'!$J$13*IF(AE$143=0,0,1)*'Option inputs'!$F25*AE$55</f>
        <v>-19170000</v>
      </c>
      <c r="AF154" s="17">
        <f>+('CBA Inputs'!AE$54-'CBA Inputs'!AE65)*'CBA Inputs'!$J$13*IF(AF$143=0,0,1)*'Option inputs'!$F25*AF$55</f>
        <v>-19170000</v>
      </c>
      <c r="AG154" s="17">
        <f>+('CBA Inputs'!AF$54-'CBA Inputs'!AF65)*'CBA Inputs'!$J$13*IF(AG$143=0,0,1)*'Option inputs'!$F25*AG$55</f>
        <v>0</v>
      </c>
      <c r="AH154" s="17">
        <f>+('CBA Inputs'!AG$54-'CBA Inputs'!AG65)*'CBA Inputs'!$J$13*IF(AH$143=0,0,1)*'Option inputs'!$F25*AH$55</f>
        <v>0</v>
      </c>
      <c r="AI154" s="17">
        <f>+('CBA Inputs'!AH$54-'CBA Inputs'!AH65)*'CBA Inputs'!$J$13*IF(AI$143=0,0,1)*'Option inputs'!$F25*AI$55</f>
        <v>0</v>
      </c>
      <c r="AJ154" s="17">
        <f>+('CBA Inputs'!AI$54-'CBA Inputs'!AI65)*'CBA Inputs'!$J$13*IF(AJ$143=0,0,1)*'Option inputs'!$F25*AJ$55</f>
        <v>0</v>
      </c>
    </row>
    <row r="155" spans="2:36" x14ac:dyDescent="0.35">
      <c r="B155" s="9">
        <f>+'Option inputs'!$B$26</f>
        <v>12</v>
      </c>
      <c r="C155" s="14" t="str">
        <f>+'Option inputs'!$C$26</f>
        <v>Option 4C</v>
      </c>
      <c r="D155" s="26"/>
      <c r="E155" s="12" t="s">
        <v>35</v>
      </c>
      <c r="F155" s="18">
        <f t="shared" si="41"/>
        <v>-174347660.2046001</v>
      </c>
      <c r="G155" s="17">
        <f>+('CBA Inputs'!F$54-'CBA Inputs'!F66)*'CBA Inputs'!$J$13*IF(G$143=0,0,1)*'Option inputs'!$F26*G$55</f>
        <v>0</v>
      </c>
      <c r="H155" s="17">
        <f>+('CBA Inputs'!G$54-'CBA Inputs'!G66)*'CBA Inputs'!$J$13*IF(H$143=0,0,1)*'Option inputs'!$F26*H$55</f>
        <v>0</v>
      </c>
      <c r="I155" s="17">
        <f>+('CBA Inputs'!H$54-'CBA Inputs'!H66)*'CBA Inputs'!$J$13*IF(I$143=0,0,1)*'Option inputs'!$F26*I$55</f>
        <v>0</v>
      </c>
      <c r="J155" s="17">
        <f>+('CBA Inputs'!I$54-'CBA Inputs'!I66)*'CBA Inputs'!$J$13*IF(J$143=0,0,1)*'Option inputs'!$F26*J$55</f>
        <v>0</v>
      </c>
      <c r="K155" s="17">
        <f>+('CBA Inputs'!J$54-'CBA Inputs'!J66)*'CBA Inputs'!$J$13*IF(K$143=0,0,1)*'Option inputs'!$F26*K$55</f>
        <v>0</v>
      </c>
      <c r="L155" s="17">
        <f>+('CBA Inputs'!K$54-'CBA Inputs'!K66)*'CBA Inputs'!$J$13*IF(L$143=0,0,1)*'Option inputs'!$F26*L$55</f>
        <v>-13550000</v>
      </c>
      <c r="M155" s="17">
        <f>+('CBA Inputs'!L$54-'CBA Inputs'!L66)*'CBA Inputs'!$J$13*IF(M$143=0,0,1)*'Option inputs'!$F26*M$55</f>
        <v>-18910000</v>
      </c>
      <c r="N155" s="17">
        <f>+('CBA Inputs'!M$54-'CBA Inputs'!M66)*'CBA Inputs'!$J$13*IF(N$143=0,0,1)*'Option inputs'!$F26*N$55</f>
        <v>-18910000</v>
      </c>
      <c r="O155" s="17">
        <f>+('CBA Inputs'!N$54-'CBA Inputs'!N66)*'CBA Inputs'!$J$13*IF(O$143=0,0,1)*'Option inputs'!$F26*O$55</f>
        <v>-18910000</v>
      </c>
      <c r="P155" s="17">
        <f>+('CBA Inputs'!O$54-'CBA Inputs'!O66)*'CBA Inputs'!$J$13*IF(P$143=0,0,1)*'Option inputs'!$F26*P$55</f>
        <v>-18910000</v>
      </c>
      <c r="Q155" s="17">
        <f>+('CBA Inputs'!P$54-'CBA Inputs'!P66)*'CBA Inputs'!$J$13*IF(Q$143=0,0,1)*'Option inputs'!$F26*Q$55</f>
        <v>-18910000</v>
      </c>
      <c r="R155" s="17">
        <f>+('CBA Inputs'!Q$54-'CBA Inputs'!Q66)*'CBA Inputs'!$J$13*IF(R$143=0,0,1)*'Option inputs'!$F26*R$55</f>
        <v>-18910000</v>
      </c>
      <c r="S155" s="17">
        <f>+('CBA Inputs'!R$54-'CBA Inputs'!R66)*'CBA Inputs'!$J$13*IF(S$143=0,0,1)*'Option inputs'!$F26*S$55</f>
        <v>-18910000</v>
      </c>
      <c r="T155" s="17">
        <f>+('CBA Inputs'!S$54-'CBA Inputs'!S66)*'CBA Inputs'!$J$13*IF(T$143=0,0,1)*'Option inputs'!$F26*T$55</f>
        <v>-18910000</v>
      </c>
      <c r="U155" s="17">
        <f>+('CBA Inputs'!T$54-'CBA Inputs'!T66)*'CBA Inputs'!$J$13*IF(U$143=0,0,1)*'Option inputs'!$F26*U$55</f>
        <v>-18910000</v>
      </c>
      <c r="V155" s="17">
        <f>+('CBA Inputs'!U$54-'CBA Inputs'!U66)*'CBA Inputs'!$J$13*IF(V$143=0,0,1)*'Option inputs'!$F26*V$55</f>
        <v>-18910000</v>
      </c>
      <c r="W155" s="17">
        <f>+('CBA Inputs'!V$54-'CBA Inputs'!V66)*'CBA Inputs'!$J$13*IF(W$143=0,0,1)*'Option inputs'!$F26*W$55</f>
        <v>-18910000</v>
      </c>
      <c r="X155" s="17">
        <f>+('CBA Inputs'!W$54-'CBA Inputs'!W66)*'CBA Inputs'!$J$13*IF(X$143=0,0,1)*'Option inputs'!$F26*X$55</f>
        <v>-18910000</v>
      </c>
      <c r="Y155" s="17">
        <f>+('CBA Inputs'!X$54-'CBA Inputs'!X66)*'CBA Inputs'!$J$13*IF(Y$143=0,0,1)*'Option inputs'!$F26*Y$55</f>
        <v>-18910000</v>
      </c>
      <c r="Z155" s="17">
        <f>+('CBA Inputs'!Y$54-'CBA Inputs'!Y66)*'CBA Inputs'!$J$13*IF(Z$143=0,0,1)*'Option inputs'!$F26*Z$55</f>
        <v>-18910000</v>
      </c>
      <c r="AA155" s="17">
        <f>+('CBA Inputs'!Z$54-'CBA Inputs'!Z66)*'CBA Inputs'!$J$13*IF(AA$143=0,0,1)*'Option inputs'!$F26*AA$55</f>
        <v>-18910000</v>
      </c>
      <c r="AB155" s="17">
        <f>+('CBA Inputs'!AA$54-'CBA Inputs'!AA66)*'CBA Inputs'!$J$13*IF(AB$143=0,0,1)*'Option inputs'!$F26*AB$55</f>
        <v>-18910000</v>
      </c>
      <c r="AC155" s="17">
        <f>+('CBA Inputs'!AB$54-'CBA Inputs'!AB66)*'CBA Inputs'!$J$13*IF(AC$143=0,0,1)*'Option inputs'!$F26*AC$55</f>
        <v>-18910000</v>
      </c>
      <c r="AD155" s="17">
        <f>+('CBA Inputs'!AC$54-'CBA Inputs'!AC66)*'CBA Inputs'!$J$13*IF(AD$143=0,0,1)*'Option inputs'!$F26*AD$55</f>
        <v>-18910000</v>
      </c>
      <c r="AE155" s="17">
        <f>+('CBA Inputs'!AD$54-'CBA Inputs'!AD66)*'CBA Inputs'!$J$13*IF(AE$143=0,0,1)*'Option inputs'!$F26*AE$55</f>
        <v>-18910000</v>
      </c>
      <c r="AF155" s="17">
        <f>+('CBA Inputs'!AE$54-'CBA Inputs'!AE66)*'CBA Inputs'!$J$13*IF(AF$143=0,0,1)*'Option inputs'!$F26*AF$55</f>
        <v>-18910000</v>
      </c>
      <c r="AG155" s="17">
        <f>+('CBA Inputs'!AF$54-'CBA Inputs'!AF66)*'CBA Inputs'!$J$13*IF(AG$143=0,0,1)*'Option inputs'!$F26*AG$55</f>
        <v>0</v>
      </c>
      <c r="AH155" s="17">
        <f>+('CBA Inputs'!AG$54-'CBA Inputs'!AG66)*'CBA Inputs'!$J$13*IF(AH$143=0,0,1)*'Option inputs'!$F26*AH$55</f>
        <v>0</v>
      </c>
      <c r="AI155" s="17">
        <f>+('CBA Inputs'!AH$54-'CBA Inputs'!AH66)*'CBA Inputs'!$J$13*IF(AI$143=0,0,1)*'Option inputs'!$F26*AI$55</f>
        <v>0</v>
      </c>
      <c r="AJ155" s="17">
        <f>+('CBA Inputs'!AI$54-'CBA Inputs'!AI66)*'CBA Inputs'!$J$13*IF(AJ$143=0,0,1)*'Option inputs'!$F26*AJ$55</f>
        <v>0</v>
      </c>
    </row>
    <row r="156" spans="2:36" x14ac:dyDescent="0.35">
      <c r="F156" s="134"/>
      <c r="H156" s="134"/>
      <c r="I156" s="134"/>
    </row>
    <row r="157" spans="2:36" ht="21" x14ac:dyDescent="0.5">
      <c r="B157" s="6" t="s">
        <v>51</v>
      </c>
      <c r="C157" s="30"/>
      <c r="D157" s="30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</row>
    <row r="159" spans="2:36" x14ac:dyDescent="0.35">
      <c r="B159" s="5" t="str">
        <f>+'CBA Inputs'!B70</f>
        <v>Involuntary load shedding</v>
      </c>
      <c r="C159" s="28"/>
      <c r="D159" s="28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:36" x14ac:dyDescent="0.35">
      <c r="B160" s="7" t="s">
        <v>14</v>
      </c>
      <c r="C160" s="10" t="s">
        <v>13</v>
      </c>
      <c r="D160" s="10"/>
      <c r="E160" s="8" t="s">
        <v>22</v>
      </c>
      <c r="F160" s="8" t="s">
        <v>37</v>
      </c>
      <c r="G160" s="13" t="str">
        <f>G$56</f>
        <v>FY 2019-20</v>
      </c>
      <c r="H160" s="13" t="str">
        <f t="shared" ref="H160:AJ160" si="42">H$56</f>
        <v>FY 2020-21</v>
      </c>
      <c r="I160" s="13" t="str">
        <f t="shared" si="42"/>
        <v>FY 2021-22</v>
      </c>
      <c r="J160" s="13" t="str">
        <f t="shared" si="42"/>
        <v>FY 2022-23</v>
      </c>
      <c r="K160" s="13" t="str">
        <f t="shared" si="42"/>
        <v>FY 2023-24</v>
      </c>
      <c r="L160" s="13" t="str">
        <f t="shared" si="42"/>
        <v>FY 2024-25</v>
      </c>
      <c r="M160" s="13" t="str">
        <f t="shared" si="42"/>
        <v>FY 2025-26</v>
      </c>
      <c r="N160" s="13" t="str">
        <f t="shared" si="42"/>
        <v>FY 2026-27</v>
      </c>
      <c r="O160" s="13" t="str">
        <f t="shared" si="42"/>
        <v>FY 2027-28</v>
      </c>
      <c r="P160" s="13" t="str">
        <f t="shared" si="42"/>
        <v>FY 2028-29</v>
      </c>
      <c r="Q160" s="13" t="str">
        <f t="shared" si="42"/>
        <v>FY 2029-30</v>
      </c>
      <c r="R160" s="13" t="str">
        <f t="shared" si="42"/>
        <v>FY 2030-31</v>
      </c>
      <c r="S160" s="13" t="str">
        <f t="shared" si="42"/>
        <v>FY 2031-32</v>
      </c>
      <c r="T160" s="13" t="str">
        <f t="shared" si="42"/>
        <v>FY 2032-33</v>
      </c>
      <c r="U160" s="13" t="str">
        <f t="shared" si="42"/>
        <v>FY 2033-34</v>
      </c>
      <c r="V160" s="13" t="str">
        <f t="shared" si="42"/>
        <v>FY 2034-35</v>
      </c>
      <c r="W160" s="13" t="str">
        <f t="shared" si="42"/>
        <v>FY 2035-36</v>
      </c>
      <c r="X160" s="13" t="str">
        <f t="shared" si="42"/>
        <v>FY 2036-37</v>
      </c>
      <c r="Y160" s="13" t="str">
        <f t="shared" si="42"/>
        <v>FY 2037-38</v>
      </c>
      <c r="Z160" s="13" t="str">
        <f t="shared" si="42"/>
        <v>FY 2038-39</v>
      </c>
      <c r="AA160" s="13" t="str">
        <f t="shared" si="42"/>
        <v>FY 2039-40</v>
      </c>
      <c r="AB160" s="13" t="str">
        <f t="shared" si="42"/>
        <v>FY 2040-41</v>
      </c>
      <c r="AC160" s="13" t="str">
        <f t="shared" si="42"/>
        <v>FY 2041-42</v>
      </c>
      <c r="AD160" s="13" t="str">
        <f t="shared" si="42"/>
        <v>FY 2042-43</v>
      </c>
      <c r="AE160" s="13" t="str">
        <f t="shared" si="42"/>
        <v>FY 2043-44</v>
      </c>
      <c r="AF160" s="13" t="str">
        <f t="shared" si="42"/>
        <v>FY 2044-45</v>
      </c>
      <c r="AG160" s="13" t="str">
        <f t="shared" si="42"/>
        <v>FY 2045-46</v>
      </c>
      <c r="AH160" s="13" t="str">
        <f t="shared" si="42"/>
        <v>FY 2046-47</v>
      </c>
      <c r="AI160" s="13" t="str">
        <f t="shared" si="42"/>
        <v>FY 2047-48</v>
      </c>
      <c r="AJ160" s="13" t="str">
        <f t="shared" si="42"/>
        <v>FY 2048-49</v>
      </c>
    </row>
    <row r="161" spans="2:36" x14ac:dyDescent="0.35">
      <c r="B161" s="9">
        <f>'Option inputs'!B15</f>
        <v>1</v>
      </c>
      <c r="C161" s="26" t="str">
        <f>'Option inputs'!C15</f>
        <v>Option 1A</v>
      </c>
      <c r="D161" s="26"/>
      <c r="E161" s="12" t="s">
        <v>35</v>
      </c>
      <c r="F161" s="18">
        <f t="shared" ref="F161:F172" si="43">NPV(DiscountRate_ACTIVE,G161:AJ161)/(1+DiscountRate_ACTIVE)^(FirstYear-BaseYear-1)</f>
        <v>-7479591.0872085746</v>
      </c>
      <c r="G161" s="17">
        <f>IFERROR('Option inputs'!$F15*(IF(Scenario_Select="Scenario 1",'CBA Inputs'!F$73-'CBA Inputs'!F74,0)+IF(Scenario_Select="Scenario 2",'CBA Inputs'!F$88-'CBA Inputs'!F89,0)+IF(Scenario_Select="Scenario 3",'CBA Inputs'!F$103-'CBA Inputs'!F104,0)+IF(Scenario_Select="Scenario 4",'CBA Inputs'!F$118-'CBA Inputs'!F119,0)),0)*G$55</f>
        <v>0</v>
      </c>
      <c r="H161" s="17">
        <f>IFERROR('Option inputs'!$F15*(IF(Scenario_Select="Scenario 1",'CBA Inputs'!G$73-'CBA Inputs'!G74,0)+IF(Scenario_Select="Scenario 2",'CBA Inputs'!G$88-'CBA Inputs'!G89,0)+IF(Scenario_Select="Scenario 3",'CBA Inputs'!G$103-'CBA Inputs'!G104,0)+IF(Scenario_Select="Scenario 4",'CBA Inputs'!G$118-'CBA Inputs'!G119,0)),0)*H$55</f>
        <v>240</v>
      </c>
      <c r="I161" s="17">
        <f>IFERROR('Option inputs'!$F15*(IF(Scenario_Select="Scenario 1",'CBA Inputs'!H$73-'CBA Inputs'!H74,0)+IF(Scenario_Select="Scenario 2",'CBA Inputs'!H$88-'CBA Inputs'!H89,0)+IF(Scenario_Select="Scenario 3",'CBA Inputs'!H$103-'CBA Inputs'!H104,0)+IF(Scenario_Select="Scenario 4",'CBA Inputs'!H$118-'CBA Inputs'!H119,0)),0)*I$55</f>
        <v>188</v>
      </c>
      <c r="J161" s="17">
        <f>IFERROR('Option inputs'!$F15*(IF(Scenario_Select="Scenario 1",'CBA Inputs'!I$73-'CBA Inputs'!I74,0)+IF(Scenario_Select="Scenario 2",'CBA Inputs'!I$88-'CBA Inputs'!I89,0)+IF(Scenario_Select="Scenario 3",'CBA Inputs'!I$103-'CBA Inputs'!I104,0)+IF(Scenario_Select="Scenario 4",'CBA Inputs'!I$118-'CBA Inputs'!I119,0)),0)*J$55</f>
        <v>264</v>
      </c>
      <c r="K161" s="17">
        <f>IFERROR('Option inputs'!$F15*(IF(Scenario_Select="Scenario 1",'CBA Inputs'!J$73-'CBA Inputs'!J74,0)+IF(Scenario_Select="Scenario 2",'CBA Inputs'!J$88-'CBA Inputs'!J89,0)+IF(Scenario_Select="Scenario 3",'CBA Inputs'!J$103-'CBA Inputs'!J104,0)+IF(Scenario_Select="Scenario 4",'CBA Inputs'!J$118-'CBA Inputs'!J119,0)),0)*K$55</f>
        <v>-15260866</v>
      </c>
      <c r="L161" s="17">
        <f>IFERROR('Option inputs'!$F15*(IF(Scenario_Select="Scenario 1",'CBA Inputs'!K$73-'CBA Inputs'!K74,0)+IF(Scenario_Select="Scenario 2",'CBA Inputs'!K$88-'CBA Inputs'!K89,0)+IF(Scenario_Select="Scenario 3",'CBA Inputs'!K$103-'CBA Inputs'!K104,0)+IF(Scenario_Select="Scenario 4",'CBA Inputs'!K$118-'CBA Inputs'!K119,0)),0)*L$55</f>
        <v>-34764649</v>
      </c>
      <c r="M161" s="17">
        <f>IFERROR('Option inputs'!$F15*(IF(Scenario_Select="Scenario 1",'CBA Inputs'!L$73-'CBA Inputs'!L74,0)+IF(Scenario_Select="Scenario 2",'CBA Inputs'!L$88-'CBA Inputs'!L89,0)+IF(Scenario_Select="Scenario 3",'CBA Inputs'!L$103-'CBA Inputs'!L104,0)+IF(Scenario_Select="Scenario 4",'CBA Inputs'!L$118-'CBA Inputs'!L119,0)),0)*M$55</f>
        <v>182</v>
      </c>
      <c r="N161" s="17">
        <f>IFERROR('Option inputs'!$F15*(IF(Scenario_Select="Scenario 1",'CBA Inputs'!M$73-'CBA Inputs'!M74,0)+IF(Scenario_Select="Scenario 2",'CBA Inputs'!M$88-'CBA Inputs'!M89,0)+IF(Scenario_Select="Scenario 3",'CBA Inputs'!M$103-'CBA Inputs'!M104,0)+IF(Scenario_Select="Scenario 4",'CBA Inputs'!M$118-'CBA Inputs'!M119,0)),0)*N$55</f>
        <v>19731875</v>
      </c>
      <c r="O161" s="17">
        <f>IFERROR('Option inputs'!$F15*(IF(Scenario_Select="Scenario 1",'CBA Inputs'!N$73-'CBA Inputs'!N74,0)+IF(Scenario_Select="Scenario 2",'CBA Inputs'!N$88-'CBA Inputs'!N89,0)+IF(Scenario_Select="Scenario 3",'CBA Inputs'!N$103-'CBA Inputs'!N104,0)+IF(Scenario_Select="Scenario 4",'CBA Inputs'!N$118-'CBA Inputs'!N119,0)),0)*O$55</f>
        <v>209</v>
      </c>
      <c r="P161" s="17">
        <f>IFERROR('Option inputs'!$F15*(IF(Scenario_Select="Scenario 1",'CBA Inputs'!O$73-'CBA Inputs'!O74,0)+IF(Scenario_Select="Scenario 2",'CBA Inputs'!O$88-'CBA Inputs'!O89,0)+IF(Scenario_Select="Scenario 3",'CBA Inputs'!O$103-'CBA Inputs'!O104,0)+IF(Scenario_Select="Scenario 4",'CBA Inputs'!O$118-'CBA Inputs'!O119,0)),0)*P$55</f>
        <v>30254739</v>
      </c>
      <c r="Q161" s="17">
        <f>IFERROR('Option inputs'!$F15*(IF(Scenario_Select="Scenario 1",'CBA Inputs'!P$73-'CBA Inputs'!P74,0)+IF(Scenario_Select="Scenario 2",'CBA Inputs'!P$88-'CBA Inputs'!P89,0)+IF(Scenario_Select="Scenario 3",'CBA Inputs'!P$103-'CBA Inputs'!P104,0)+IF(Scenario_Select="Scenario 4",'CBA Inputs'!P$118-'CBA Inputs'!P119,0)),0)*Q$55</f>
        <v>5331037</v>
      </c>
      <c r="R161" s="17">
        <f>IFERROR('Option inputs'!$F15*(IF(Scenario_Select="Scenario 1",'CBA Inputs'!Q$73-'CBA Inputs'!Q74,0)+IF(Scenario_Select="Scenario 2",'CBA Inputs'!Q$88-'CBA Inputs'!Q89,0)+IF(Scenario_Select="Scenario 3",'CBA Inputs'!Q$103-'CBA Inputs'!Q104,0)+IF(Scenario_Select="Scenario 4",'CBA Inputs'!Q$118-'CBA Inputs'!Q119,0)),0)*R$55</f>
        <v>178684</v>
      </c>
      <c r="S161" s="17">
        <f>IFERROR('Option inputs'!$F15*(IF(Scenario_Select="Scenario 1",'CBA Inputs'!R$73-'CBA Inputs'!R74,0)+IF(Scenario_Select="Scenario 2",'CBA Inputs'!R$88-'CBA Inputs'!R89,0)+IF(Scenario_Select="Scenario 3",'CBA Inputs'!R$103-'CBA Inputs'!R104,0)+IF(Scenario_Select="Scenario 4",'CBA Inputs'!R$118-'CBA Inputs'!R119,0)),0)*S$55</f>
        <v>909603</v>
      </c>
      <c r="T161" s="17">
        <f>IFERROR('Option inputs'!$F15*(IF(Scenario_Select="Scenario 1",'CBA Inputs'!S$73-'CBA Inputs'!S74,0)+IF(Scenario_Select="Scenario 2",'CBA Inputs'!S$88-'CBA Inputs'!S89,0)+IF(Scenario_Select="Scenario 3",'CBA Inputs'!S$103-'CBA Inputs'!S104,0)+IF(Scenario_Select="Scenario 4",'CBA Inputs'!S$118-'CBA Inputs'!S119,0)),0)*T$55</f>
        <v>190</v>
      </c>
      <c r="U161" s="17">
        <f>IFERROR('Option inputs'!$F15*(IF(Scenario_Select="Scenario 1",'CBA Inputs'!T$73-'CBA Inputs'!T74,0)+IF(Scenario_Select="Scenario 2",'CBA Inputs'!T$88-'CBA Inputs'!T89,0)+IF(Scenario_Select="Scenario 3",'CBA Inputs'!T$103-'CBA Inputs'!T104,0)+IF(Scenario_Select="Scenario 4",'CBA Inputs'!T$118-'CBA Inputs'!T119,0)),0)*U$55</f>
        <v>-924633</v>
      </c>
      <c r="V161" s="17">
        <f>IFERROR('Option inputs'!$F15*(IF(Scenario_Select="Scenario 1",'CBA Inputs'!U$73-'CBA Inputs'!U74,0)+IF(Scenario_Select="Scenario 2",'CBA Inputs'!U$88-'CBA Inputs'!U89,0)+IF(Scenario_Select="Scenario 3",'CBA Inputs'!U$103-'CBA Inputs'!U104,0)+IF(Scenario_Select="Scenario 4",'CBA Inputs'!U$118-'CBA Inputs'!U119,0)),0)*V$55</f>
        <v>4644377</v>
      </c>
      <c r="W161" s="17">
        <f>IFERROR('Option inputs'!$F15*(IF(Scenario_Select="Scenario 1",'CBA Inputs'!V$73-'CBA Inputs'!V74,0)+IF(Scenario_Select="Scenario 2",'CBA Inputs'!V$88-'CBA Inputs'!V89,0)+IF(Scenario_Select="Scenario 3",'CBA Inputs'!V$103-'CBA Inputs'!V104,0)+IF(Scenario_Select="Scenario 4",'CBA Inputs'!V$118-'CBA Inputs'!V119,0)),0)*W$55</f>
        <v>-2027975</v>
      </c>
      <c r="X161" s="17">
        <f>IFERROR('Option inputs'!$F15*(IF(Scenario_Select="Scenario 1",'CBA Inputs'!W$73-'CBA Inputs'!W74,0)+IF(Scenario_Select="Scenario 2",'CBA Inputs'!W$88-'CBA Inputs'!W89,0)+IF(Scenario_Select="Scenario 3",'CBA Inputs'!W$103-'CBA Inputs'!W104,0)+IF(Scenario_Select="Scenario 4",'CBA Inputs'!W$118-'CBA Inputs'!W119,0)),0)*X$55</f>
        <v>210</v>
      </c>
      <c r="Y161" s="17">
        <f>IFERROR('Option inputs'!$F15*(IF(Scenario_Select="Scenario 1",'CBA Inputs'!X$73-'CBA Inputs'!X74,0)+IF(Scenario_Select="Scenario 2",'CBA Inputs'!X$88-'CBA Inputs'!X89,0)+IF(Scenario_Select="Scenario 3",'CBA Inputs'!X$103-'CBA Inputs'!X104,0)+IF(Scenario_Select="Scenario 4",'CBA Inputs'!X$118-'CBA Inputs'!X119,0)),0)*Y$55</f>
        <v>-11939967</v>
      </c>
      <c r="Z161" s="17">
        <f>IFERROR('Option inputs'!$F15*(IF(Scenario_Select="Scenario 1",'CBA Inputs'!Y$73-'CBA Inputs'!Y74,0)+IF(Scenario_Select="Scenario 2",'CBA Inputs'!Y$88-'CBA Inputs'!Y89,0)+IF(Scenario_Select="Scenario 3",'CBA Inputs'!Y$103-'CBA Inputs'!Y104,0)+IF(Scenario_Select="Scenario 4",'CBA Inputs'!Y$118-'CBA Inputs'!Y119,0)),0)*Z$55</f>
        <v>197</v>
      </c>
      <c r="AA161" s="17">
        <f>IFERROR('Option inputs'!$F15*(IF(Scenario_Select="Scenario 1",'CBA Inputs'!Z$73-'CBA Inputs'!Z74,0)+IF(Scenario_Select="Scenario 2",'CBA Inputs'!Z$88-'CBA Inputs'!Z89,0)+IF(Scenario_Select="Scenario 3",'CBA Inputs'!Z$103-'CBA Inputs'!Z104,0)+IF(Scenario_Select="Scenario 4",'CBA Inputs'!Z$118-'CBA Inputs'!Z119,0)),0)*AA$55</f>
        <v>184</v>
      </c>
      <c r="AB161" s="17">
        <f>IFERROR('Option inputs'!$F15*(IF(Scenario_Select="Scenario 1",'CBA Inputs'!AA$73-'CBA Inputs'!AA74,0)+IF(Scenario_Select="Scenario 2",'CBA Inputs'!AA$88-'CBA Inputs'!AA89,0)+IF(Scenario_Select="Scenario 3",'CBA Inputs'!AA$103-'CBA Inputs'!AA104,0)+IF(Scenario_Select="Scenario 4",'CBA Inputs'!AA$118-'CBA Inputs'!AA119,0)),0)*AB$55</f>
        <v>203</v>
      </c>
      <c r="AC161" s="17">
        <f>IFERROR('Option inputs'!$F15*(IF(Scenario_Select="Scenario 1",'CBA Inputs'!AB$73-'CBA Inputs'!AB74,0)+IF(Scenario_Select="Scenario 2",'CBA Inputs'!AB$88-'CBA Inputs'!AB89,0)+IF(Scenario_Select="Scenario 3",'CBA Inputs'!AB$103-'CBA Inputs'!AB104,0)+IF(Scenario_Select="Scenario 4",'CBA Inputs'!AB$118-'CBA Inputs'!AB119,0)),0)*AC$55</f>
        <v>184</v>
      </c>
      <c r="AD161" s="17">
        <f>IFERROR('Option inputs'!$F15*(IF(Scenario_Select="Scenario 1",'CBA Inputs'!AC$73-'CBA Inputs'!AC74,0)+IF(Scenario_Select="Scenario 2",'CBA Inputs'!AC$88-'CBA Inputs'!AC89,0)+IF(Scenario_Select="Scenario 3",'CBA Inputs'!AC$103-'CBA Inputs'!AC104,0)+IF(Scenario_Select="Scenario 4",'CBA Inputs'!AC$118-'CBA Inputs'!AC119,0)),0)*AD$55</f>
        <v>-4810318</v>
      </c>
      <c r="AE161" s="17">
        <f>IFERROR('Option inputs'!$F15*(IF(Scenario_Select="Scenario 1",'CBA Inputs'!AD$73-'CBA Inputs'!AD74,0)+IF(Scenario_Select="Scenario 2",'CBA Inputs'!AD$88-'CBA Inputs'!AD89,0)+IF(Scenario_Select="Scenario 3",'CBA Inputs'!AD$103-'CBA Inputs'!AD104,0)+IF(Scenario_Select="Scenario 4",'CBA Inputs'!AD$118-'CBA Inputs'!AD119,0)),0)*AE$55</f>
        <v>2878610</v>
      </c>
      <c r="AF161" s="17">
        <f>IFERROR('Option inputs'!$F15*(IF(Scenario_Select="Scenario 1",'CBA Inputs'!AE$73-'CBA Inputs'!AE74,0)+IF(Scenario_Select="Scenario 2",'CBA Inputs'!AE$88-'CBA Inputs'!AE89,0)+IF(Scenario_Select="Scenario 3",'CBA Inputs'!AE$103-'CBA Inputs'!AE104,0)+IF(Scenario_Select="Scenario 4",'CBA Inputs'!AE$118-'CBA Inputs'!AE119,0)),0)*AF$55</f>
        <v>193</v>
      </c>
      <c r="AG161" s="17">
        <f>IFERROR('Option inputs'!$F15*(IF(Scenario_Select="Scenario 1",'CBA Inputs'!AF$73-'CBA Inputs'!AF74,0)+IF(Scenario_Select="Scenario 2",'CBA Inputs'!AF$88-'CBA Inputs'!AF89,0)+IF(Scenario_Select="Scenario 3",'CBA Inputs'!AF$103-'CBA Inputs'!AF104,0)+IF(Scenario_Select="Scenario 4",'CBA Inputs'!AF$118-'CBA Inputs'!AF119,0)),0)*AG$55</f>
        <v>0</v>
      </c>
      <c r="AH161" s="17">
        <f>IFERROR('Option inputs'!$F15*(IF(Scenario_Select="Scenario 1",'CBA Inputs'!AG$73-'CBA Inputs'!AG74,0)+IF(Scenario_Select="Scenario 2",'CBA Inputs'!AG$88-'CBA Inputs'!AG89,0)+IF(Scenario_Select="Scenario 3",'CBA Inputs'!AG$103-'CBA Inputs'!AG104,0)+IF(Scenario_Select="Scenario 4",'CBA Inputs'!AG$118-'CBA Inputs'!AG119,0)),0)*AH$55</f>
        <v>0</v>
      </c>
      <c r="AI161" s="17">
        <f>IFERROR('Option inputs'!$F15*(IF(Scenario_Select="Scenario 1",'CBA Inputs'!AH$73-'CBA Inputs'!AH74,0)+IF(Scenario_Select="Scenario 2",'CBA Inputs'!AH$88-'CBA Inputs'!AH89,0)+IF(Scenario_Select="Scenario 3",'CBA Inputs'!AH$103-'CBA Inputs'!AH104,0)+IF(Scenario_Select="Scenario 4",'CBA Inputs'!AH$118-'CBA Inputs'!AH119,0)),0)*AI$55</f>
        <v>0</v>
      </c>
      <c r="AJ161" s="17">
        <f>IFERROR('Option inputs'!$F15*(IF(Scenario_Select="Scenario 1",'CBA Inputs'!AI$73-'CBA Inputs'!AI74,0)+IF(Scenario_Select="Scenario 2",'CBA Inputs'!AI$88-'CBA Inputs'!AI89,0)+IF(Scenario_Select="Scenario 3",'CBA Inputs'!AI$103-'CBA Inputs'!AI104,0)+IF(Scenario_Select="Scenario 4",'CBA Inputs'!AI$118-'CBA Inputs'!AI119,0)),0)*AJ$55</f>
        <v>0</v>
      </c>
    </row>
    <row r="162" spans="2:36" x14ac:dyDescent="0.35">
      <c r="B162" s="9">
        <f>'Option inputs'!B16</f>
        <v>2</v>
      </c>
      <c r="C162" s="26" t="str">
        <f>'Option inputs'!C16</f>
        <v>Option 1B</v>
      </c>
      <c r="D162" s="26"/>
      <c r="E162" s="12" t="s">
        <v>35</v>
      </c>
      <c r="F162" s="18">
        <f t="shared" si="43"/>
        <v>9443858.7931356765</v>
      </c>
      <c r="G162" s="17">
        <f>IFERROR('Option inputs'!$F16*(IF(Scenario_Select="Scenario 1",'CBA Inputs'!F$73-'CBA Inputs'!F75,0)+IF(Scenario_Select="Scenario 2",'CBA Inputs'!F$88-'CBA Inputs'!F90,0)+IF(Scenario_Select="Scenario 3",'CBA Inputs'!F$103-'CBA Inputs'!F105,0)+IF(Scenario_Select="Scenario 4",'CBA Inputs'!F$118-'CBA Inputs'!F120,0)),0)*G$55</f>
        <v>0</v>
      </c>
      <c r="H162" s="17">
        <f>IFERROR('Option inputs'!$F16*(IF(Scenario_Select="Scenario 1",'CBA Inputs'!G$73-'CBA Inputs'!G75,0)+IF(Scenario_Select="Scenario 2",'CBA Inputs'!G$88-'CBA Inputs'!G90,0)+IF(Scenario_Select="Scenario 3",'CBA Inputs'!G$103-'CBA Inputs'!G105,0)+IF(Scenario_Select="Scenario 4",'CBA Inputs'!G$118-'CBA Inputs'!G120,0)),0)*H$55</f>
        <v>67</v>
      </c>
      <c r="I162" s="17">
        <f>IFERROR('Option inputs'!$F16*(IF(Scenario_Select="Scenario 1",'CBA Inputs'!H$73-'CBA Inputs'!H75,0)+IF(Scenario_Select="Scenario 2",'CBA Inputs'!H$88-'CBA Inputs'!H90,0)+IF(Scenario_Select="Scenario 3",'CBA Inputs'!H$103-'CBA Inputs'!H105,0)+IF(Scenario_Select="Scenario 4",'CBA Inputs'!H$118-'CBA Inputs'!H120,0)),0)*I$55</f>
        <v>347</v>
      </c>
      <c r="J162" s="17">
        <f>IFERROR('Option inputs'!$F16*(IF(Scenario_Select="Scenario 1",'CBA Inputs'!I$73-'CBA Inputs'!I75,0)+IF(Scenario_Select="Scenario 2",'CBA Inputs'!I$88-'CBA Inputs'!I90,0)+IF(Scenario_Select="Scenario 3",'CBA Inputs'!I$103-'CBA Inputs'!I105,0)+IF(Scenario_Select="Scenario 4",'CBA Inputs'!I$118-'CBA Inputs'!I120,0)),0)*J$55</f>
        <v>256</v>
      </c>
      <c r="K162" s="17">
        <f>IFERROR('Option inputs'!$F16*(IF(Scenario_Select="Scenario 1",'CBA Inputs'!J$73-'CBA Inputs'!J75,0)+IF(Scenario_Select="Scenario 2",'CBA Inputs'!J$88-'CBA Inputs'!J90,0)+IF(Scenario_Select="Scenario 3",'CBA Inputs'!J$103-'CBA Inputs'!J105,0)+IF(Scenario_Select="Scenario 4",'CBA Inputs'!J$118-'CBA Inputs'!J120,0)),0)*K$55</f>
        <v>-15566737</v>
      </c>
      <c r="L162" s="17">
        <f>IFERROR('Option inputs'!$F16*(IF(Scenario_Select="Scenario 1",'CBA Inputs'!K$73-'CBA Inputs'!K75,0)+IF(Scenario_Select="Scenario 2",'CBA Inputs'!K$88-'CBA Inputs'!K90,0)+IF(Scenario_Select="Scenario 3",'CBA Inputs'!K$103-'CBA Inputs'!K105,0)+IF(Scenario_Select="Scenario 4",'CBA Inputs'!K$118-'CBA Inputs'!K120,0)),0)*L$55</f>
        <v>-41958515</v>
      </c>
      <c r="M162" s="17">
        <f>IFERROR('Option inputs'!$F16*(IF(Scenario_Select="Scenario 1",'CBA Inputs'!L$73-'CBA Inputs'!L75,0)+IF(Scenario_Select="Scenario 2",'CBA Inputs'!L$88-'CBA Inputs'!L90,0)+IF(Scenario_Select="Scenario 3",'CBA Inputs'!L$103-'CBA Inputs'!L105,0)+IF(Scenario_Select="Scenario 4",'CBA Inputs'!L$118-'CBA Inputs'!L120,0)),0)*M$55</f>
        <v>458</v>
      </c>
      <c r="N162" s="17">
        <f>IFERROR('Option inputs'!$F16*(IF(Scenario_Select="Scenario 1",'CBA Inputs'!M$73-'CBA Inputs'!M75,0)+IF(Scenario_Select="Scenario 2",'CBA Inputs'!M$88-'CBA Inputs'!M90,0)+IF(Scenario_Select="Scenario 3",'CBA Inputs'!M$103-'CBA Inputs'!M105,0)+IF(Scenario_Select="Scenario 4",'CBA Inputs'!M$118-'CBA Inputs'!M120,0)),0)*N$55</f>
        <v>19732168</v>
      </c>
      <c r="O162" s="17">
        <f>IFERROR('Option inputs'!$F16*(IF(Scenario_Select="Scenario 1",'CBA Inputs'!N$73-'CBA Inputs'!N75,0)+IF(Scenario_Select="Scenario 2",'CBA Inputs'!N$88-'CBA Inputs'!N90,0)+IF(Scenario_Select="Scenario 3",'CBA Inputs'!N$103-'CBA Inputs'!N105,0)+IF(Scenario_Select="Scenario 4",'CBA Inputs'!N$118-'CBA Inputs'!N120,0)),0)*O$55</f>
        <v>519</v>
      </c>
      <c r="P162" s="17">
        <f>IFERROR('Option inputs'!$F16*(IF(Scenario_Select="Scenario 1",'CBA Inputs'!O$73-'CBA Inputs'!O75,0)+IF(Scenario_Select="Scenario 2",'CBA Inputs'!O$88-'CBA Inputs'!O90,0)+IF(Scenario_Select="Scenario 3",'CBA Inputs'!O$103-'CBA Inputs'!O105,0)+IF(Scenario_Select="Scenario 4",'CBA Inputs'!O$118-'CBA Inputs'!O120,0)),0)*P$55</f>
        <v>42162427</v>
      </c>
      <c r="Q162" s="17">
        <f>IFERROR('Option inputs'!$F16*(IF(Scenario_Select="Scenario 1",'CBA Inputs'!P$73-'CBA Inputs'!P75,0)+IF(Scenario_Select="Scenario 2",'CBA Inputs'!P$88-'CBA Inputs'!P90,0)+IF(Scenario_Select="Scenario 3",'CBA Inputs'!P$103-'CBA Inputs'!P105,0)+IF(Scenario_Select="Scenario 4",'CBA Inputs'!P$118-'CBA Inputs'!P120,0)),0)*Q$55</f>
        <v>6186274</v>
      </c>
      <c r="R162" s="17">
        <f>IFERROR('Option inputs'!$F16*(IF(Scenario_Select="Scenario 1",'CBA Inputs'!Q$73-'CBA Inputs'!Q75,0)+IF(Scenario_Select="Scenario 2",'CBA Inputs'!Q$88-'CBA Inputs'!Q90,0)+IF(Scenario_Select="Scenario 3",'CBA Inputs'!Q$103-'CBA Inputs'!Q105,0)+IF(Scenario_Select="Scenario 4",'CBA Inputs'!Q$118-'CBA Inputs'!Q120,0)),0)*R$55</f>
        <v>179051</v>
      </c>
      <c r="S162" s="17">
        <f>IFERROR('Option inputs'!$F16*(IF(Scenario_Select="Scenario 1",'CBA Inputs'!R$73-'CBA Inputs'!R75,0)+IF(Scenario_Select="Scenario 2",'CBA Inputs'!R$88-'CBA Inputs'!R90,0)+IF(Scenario_Select="Scenario 3",'CBA Inputs'!R$103-'CBA Inputs'!R105,0)+IF(Scenario_Select="Scenario 4",'CBA Inputs'!R$118-'CBA Inputs'!R120,0)),0)*S$55</f>
        <v>4579236</v>
      </c>
      <c r="T162" s="17">
        <f>IFERROR('Option inputs'!$F16*(IF(Scenario_Select="Scenario 1",'CBA Inputs'!S$73-'CBA Inputs'!S75,0)+IF(Scenario_Select="Scenario 2",'CBA Inputs'!S$88-'CBA Inputs'!S90,0)+IF(Scenario_Select="Scenario 3",'CBA Inputs'!S$103-'CBA Inputs'!S105,0)+IF(Scenario_Select="Scenario 4",'CBA Inputs'!S$118-'CBA Inputs'!S120,0)),0)*T$55</f>
        <v>602</v>
      </c>
      <c r="U162" s="17">
        <f>IFERROR('Option inputs'!$F16*(IF(Scenario_Select="Scenario 1",'CBA Inputs'!T$73-'CBA Inputs'!T75,0)+IF(Scenario_Select="Scenario 2",'CBA Inputs'!T$88-'CBA Inputs'!T90,0)+IF(Scenario_Select="Scenario 3",'CBA Inputs'!T$103-'CBA Inputs'!T105,0)+IF(Scenario_Select="Scenario 4",'CBA Inputs'!T$118-'CBA Inputs'!T120,0)),0)*U$55</f>
        <v>2260994</v>
      </c>
      <c r="V162" s="17">
        <f>IFERROR('Option inputs'!$F16*(IF(Scenario_Select="Scenario 1",'CBA Inputs'!U$73-'CBA Inputs'!U75,0)+IF(Scenario_Select="Scenario 2",'CBA Inputs'!U$88-'CBA Inputs'!U90,0)+IF(Scenario_Select="Scenario 3",'CBA Inputs'!U$103-'CBA Inputs'!U105,0)+IF(Scenario_Select="Scenario 4",'CBA Inputs'!U$118-'CBA Inputs'!U120,0)),0)*V$55</f>
        <v>13014990</v>
      </c>
      <c r="W162" s="17">
        <f>IFERROR('Option inputs'!$F16*(IF(Scenario_Select="Scenario 1",'CBA Inputs'!V$73-'CBA Inputs'!V75,0)+IF(Scenario_Select="Scenario 2",'CBA Inputs'!V$88-'CBA Inputs'!V90,0)+IF(Scenario_Select="Scenario 3",'CBA Inputs'!V$103-'CBA Inputs'!V105,0)+IF(Scenario_Select="Scenario 4",'CBA Inputs'!V$118-'CBA Inputs'!V120,0)),0)*W$55</f>
        <v>1318999</v>
      </c>
      <c r="X162" s="17">
        <f>IFERROR('Option inputs'!$F16*(IF(Scenario_Select="Scenario 1",'CBA Inputs'!W$73-'CBA Inputs'!W75,0)+IF(Scenario_Select="Scenario 2",'CBA Inputs'!W$88-'CBA Inputs'!W90,0)+IF(Scenario_Select="Scenario 3",'CBA Inputs'!W$103-'CBA Inputs'!W105,0)+IF(Scenario_Select="Scenario 4",'CBA Inputs'!W$118-'CBA Inputs'!W120,0)),0)*X$55</f>
        <v>728</v>
      </c>
      <c r="Y162" s="17">
        <f>IFERROR('Option inputs'!$F16*(IF(Scenario_Select="Scenario 1",'CBA Inputs'!X$73-'CBA Inputs'!X75,0)+IF(Scenario_Select="Scenario 2",'CBA Inputs'!X$88-'CBA Inputs'!X90,0)+IF(Scenario_Select="Scenario 3",'CBA Inputs'!X$103-'CBA Inputs'!X105,0)+IF(Scenario_Select="Scenario 4",'CBA Inputs'!X$118-'CBA Inputs'!X120,0)),0)*Y$55</f>
        <v>-1100084</v>
      </c>
      <c r="Z162" s="17">
        <f>IFERROR('Option inputs'!$F16*(IF(Scenario_Select="Scenario 1",'CBA Inputs'!Y$73-'CBA Inputs'!Y75,0)+IF(Scenario_Select="Scenario 2",'CBA Inputs'!Y$88-'CBA Inputs'!Y90,0)+IF(Scenario_Select="Scenario 3",'CBA Inputs'!Y$103-'CBA Inputs'!Y105,0)+IF(Scenario_Select="Scenario 4",'CBA Inputs'!Y$118-'CBA Inputs'!Y120,0)),0)*Z$55</f>
        <v>778</v>
      </c>
      <c r="AA162" s="17">
        <f>IFERROR('Option inputs'!$F16*(IF(Scenario_Select="Scenario 1",'CBA Inputs'!Z$73-'CBA Inputs'!Z75,0)+IF(Scenario_Select="Scenario 2",'CBA Inputs'!Z$88-'CBA Inputs'!Z90,0)+IF(Scenario_Select="Scenario 3",'CBA Inputs'!Z$103-'CBA Inputs'!Z105,0)+IF(Scenario_Select="Scenario 4",'CBA Inputs'!Z$118-'CBA Inputs'!Z120,0)),0)*AA$55</f>
        <v>801</v>
      </c>
      <c r="AB162" s="17">
        <f>IFERROR('Option inputs'!$F16*(IF(Scenario_Select="Scenario 1",'CBA Inputs'!AA$73-'CBA Inputs'!AA75,0)+IF(Scenario_Select="Scenario 2",'CBA Inputs'!AA$88-'CBA Inputs'!AA90,0)+IF(Scenario_Select="Scenario 3",'CBA Inputs'!AA$103-'CBA Inputs'!AA105,0)+IF(Scenario_Select="Scenario 4",'CBA Inputs'!AA$118-'CBA Inputs'!AA120,0)),0)*AB$55</f>
        <v>855</v>
      </c>
      <c r="AC162" s="17">
        <f>IFERROR('Option inputs'!$F16*(IF(Scenario_Select="Scenario 1",'CBA Inputs'!AB$73-'CBA Inputs'!AB75,0)+IF(Scenario_Select="Scenario 2",'CBA Inputs'!AB$88-'CBA Inputs'!AB90,0)+IF(Scenario_Select="Scenario 3",'CBA Inputs'!AB$103-'CBA Inputs'!AB105,0)+IF(Scenario_Select="Scenario 4",'CBA Inputs'!AB$118-'CBA Inputs'!AB120,0)),0)*AC$55</f>
        <v>874</v>
      </c>
      <c r="AD162" s="17">
        <f>IFERROR('Option inputs'!$F16*(IF(Scenario_Select="Scenario 1",'CBA Inputs'!AC$73-'CBA Inputs'!AC75,0)+IF(Scenario_Select="Scenario 2",'CBA Inputs'!AC$88-'CBA Inputs'!AC90,0)+IF(Scenario_Select="Scenario 3",'CBA Inputs'!AC$103-'CBA Inputs'!AC105,0)+IF(Scenario_Select="Scenario 4",'CBA Inputs'!AC$118-'CBA Inputs'!AC120,0)),0)*AD$55</f>
        <v>1186853</v>
      </c>
      <c r="AE162" s="17">
        <f>IFERROR('Option inputs'!$F16*(IF(Scenario_Select="Scenario 1",'CBA Inputs'!AD$73-'CBA Inputs'!AD75,0)+IF(Scenario_Select="Scenario 2",'CBA Inputs'!AD$88-'CBA Inputs'!AD90,0)+IF(Scenario_Select="Scenario 3",'CBA Inputs'!AD$103-'CBA Inputs'!AD105,0)+IF(Scenario_Select="Scenario 4",'CBA Inputs'!AD$118-'CBA Inputs'!AD120,0)),0)*AE$55</f>
        <v>8244652</v>
      </c>
      <c r="AF162" s="17">
        <f>IFERROR('Option inputs'!$F16*(IF(Scenario_Select="Scenario 1",'CBA Inputs'!AE$73-'CBA Inputs'!AE75,0)+IF(Scenario_Select="Scenario 2",'CBA Inputs'!AE$88-'CBA Inputs'!AE90,0)+IF(Scenario_Select="Scenario 3",'CBA Inputs'!AE$103-'CBA Inputs'!AE105,0)+IF(Scenario_Select="Scenario 4",'CBA Inputs'!AE$118-'CBA Inputs'!AE120,0)),0)*AF$55</f>
        <v>1012</v>
      </c>
      <c r="AG162" s="17">
        <f>IFERROR('Option inputs'!$F16*(IF(Scenario_Select="Scenario 1",'CBA Inputs'!AF$73-'CBA Inputs'!AF75,0)+IF(Scenario_Select="Scenario 2",'CBA Inputs'!AF$88-'CBA Inputs'!AF90,0)+IF(Scenario_Select="Scenario 3",'CBA Inputs'!AF$103-'CBA Inputs'!AF105,0)+IF(Scenario_Select="Scenario 4",'CBA Inputs'!AF$118-'CBA Inputs'!AF120,0)),0)*AG$55</f>
        <v>0</v>
      </c>
      <c r="AH162" s="17">
        <f>IFERROR('Option inputs'!$F16*(IF(Scenario_Select="Scenario 1",'CBA Inputs'!AG$73-'CBA Inputs'!AG75,0)+IF(Scenario_Select="Scenario 2",'CBA Inputs'!AG$88-'CBA Inputs'!AG90,0)+IF(Scenario_Select="Scenario 3",'CBA Inputs'!AG$103-'CBA Inputs'!AG105,0)+IF(Scenario_Select="Scenario 4",'CBA Inputs'!AG$118-'CBA Inputs'!AG120,0)),0)*AH$55</f>
        <v>0</v>
      </c>
      <c r="AI162" s="17">
        <f>IFERROR('Option inputs'!$F16*(IF(Scenario_Select="Scenario 1",'CBA Inputs'!AH$73-'CBA Inputs'!AH75,0)+IF(Scenario_Select="Scenario 2",'CBA Inputs'!AH$88-'CBA Inputs'!AH90,0)+IF(Scenario_Select="Scenario 3",'CBA Inputs'!AH$103-'CBA Inputs'!AH105,0)+IF(Scenario_Select="Scenario 4",'CBA Inputs'!AH$118-'CBA Inputs'!AH120,0)),0)*AI$55</f>
        <v>0</v>
      </c>
      <c r="AJ162" s="17">
        <f>IFERROR('Option inputs'!$F16*(IF(Scenario_Select="Scenario 1",'CBA Inputs'!AI$73-'CBA Inputs'!AI75,0)+IF(Scenario_Select="Scenario 2",'CBA Inputs'!AI$88-'CBA Inputs'!AI90,0)+IF(Scenario_Select="Scenario 3",'CBA Inputs'!AI$103-'CBA Inputs'!AI105,0)+IF(Scenario_Select="Scenario 4",'CBA Inputs'!AI$118-'CBA Inputs'!AI120,0)),0)*AJ$55</f>
        <v>0</v>
      </c>
    </row>
    <row r="163" spans="2:36" x14ac:dyDescent="0.35">
      <c r="B163" s="9">
        <f>'Option inputs'!B17</f>
        <v>3</v>
      </c>
      <c r="C163" s="26" t="str">
        <f>'Option inputs'!C17</f>
        <v>Option 1C</v>
      </c>
      <c r="D163" s="26"/>
      <c r="E163" s="12" t="s">
        <v>35</v>
      </c>
      <c r="F163" s="18">
        <f t="shared" si="43"/>
        <v>-18656837.486635573</v>
      </c>
      <c r="G163" s="17">
        <f>IFERROR('Option inputs'!$F17*(IF(Scenario_Select="Scenario 1",'CBA Inputs'!F$73-'CBA Inputs'!F76,0)+IF(Scenario_Select="Scenario 2",'CBA Inputs'!F$88-'CBA Inputs'!F91,0)+IF(Scenario_Select="Scenario 3",'CBA Inputs'!F$103-'CBA Inputs'!F106,0)+IF(Scenario_Select="Scenario 4",'CBA Inputs'!F$118-'CBA Inputs'!F121,0)),0)*G$55</f>
        <v>0</v>
      </c>
      <c r="H163" s="17">
        <f>IFERROR('Option inputs'!$F17*(IF(Scenario_Select="Scenario 1",'CBA Inputs'!G$73-'CBA Inputs'!G76,0)+IF(Scenario_Select="Scenario 2",'CBA Inputs'!G$88-'CBA Inputs'!G91,0)+IF(Scenario_Select="Scenario 3",'CBA Inputs'!G$103-'CBA Inputs'!G106,0)+IF(Scenario_Select="Scenario 4",'CBA Inputs'!G$118-'CBA Inputs'!G121,0)),0)*H$55</f>
        <v>-125</v>
      </c>
      <c r="I163" s="17">
        <f>IFERROR('Option inputs'!$F17*(IF(Scenario_Select="Scenario 1",'CBA Inputs'!H$73-'CBA Inputs'!H76,0)+IF(Scenario_Select="Scenario 2",'CBA Inputs'!H$88-'CBA Inputs'!H91,0)+IF(Scenario_Select="Scenario 3",'CBA Inputs'!H$103-'CBA Inputs'!H106,0)+IF(Scenario_Select="Scenario 4",'CBA Inputs'!H$118-'CBA Inputs'!H121,0)),0)*I$55</f>
        <v>-23</v>
      </c>
      <c r="J163" s="17">
        <f>IFERROR('Option inputs'!$F17*(IF(Scenario_Select="Scenario 1",'CBA Inputs'!I$73-'CBA Inputs'!I76,0)+IF(Scenario_Select="Scenario 2",'CBA Inputs'!I$88-'CBA Inputs'!I91,0)+IF(Scenario_Select="Scenario 3",'CBA Inputs'!I$103-'CBA Inputs'!I106,0)+IF(Scenario_Select="Scenario 4",'CBA Inputs'!I$118-'CBA Inputs'!I121,0)),0)*J$55</f>
        <v>-88</v>
      </c>
      <c r="K163" s="17">
        <f>IFERROR('Option inputs'!$F17*(IF(Scenario_Select="Scenario 1",'CBA Inputs'!J$73-'CBA Inputs'!J76,0)+IF(Scenario_Select="Scenario 2",'CBA Inputs'!J$88-'CBA Inputs'!J91,0)+IF(Scenario_Select="Scenario 3",'CBA Inputs'!J$103-'CBA Inputs'!J106,0)+IF(Scenario_Select="Scenario 4",'CBA Inputs'!J$118-'CBA Inputs'!J121,0)),0)*K$55</f>
        <v>-17417</v>
      </c>
      <c r="L163" s="17">
        <f>IFERROR('Option inputs'!$F17*(IF(Scenario_Select="Scenario 1",'CBA Inputs'!K$73-'CBA Inputs'!K76,0)+IF(Scenario_Select="Scenario 2",'CBA Inputs'!K$88-'CBA Inputs'!K91,0)+IF(Scenario_Select="Scenario 3",'CBA Inputs'!K$103-'CBA Inputs'!K106,0)+IF(Scenario_Select="Scenario 4",'CBA Inputs'!K$118-'CBA Inputs'!K121,0)),0)*L$55</f>
        <v>-105919704</v>
      </c>
      <c r="M163" s="17">
        <f>IFERROR('Option inputs'!$F17*(IF(Scenario_Select="Scenario 1",'CBA Inputs'!L$73-'CBA Inputs'!L76,0)+IF(Scenario_Select="Scenario 2",'CBA Inputs'!L$88-'CBA Inputs'!L91,0)+IF(Scenario_Select="Scenario 3",'CBA Inputs'!L$103-'CBA Inputs'!L106,0)+IF(Scenario_Select="Scenario 4",'CBA Inputs'!L$118-'CBA Inputs'!L121,0)),0)*M$55</f>
        <v>-56</v>
      </c>
      <c r="N163" s="17">
        <f>IFERROR('Option inputs'!$F17*(IF(Scenario_Select="Scenario 1",'CBA Inputs'!M$73-'CBA Inputs'!M76,0)+IF(Scenario_Select="Scenario 2",'CBA Inputs'!M$88-'CBA Inputs'!M91,0)+IF(Scenario_Select="Scenario 3",'CBA Inputs'!M$103-'CBA Inputs'!M106,0)+IF(Scenario_Select="Scenario 4",'CBA Inputs'!M$118-'CBA Inputs'!M121,0)),0)*N$55</f>
        <v>19731614</v>
      </c>
      <c r="O163" s="17">
        <f>IFERROR('Option inputs'!$F17*(IF(Scenario_Select="Scenario 1",'CBA Inputs'!N$73-'CBA Inputs'!N76,0)+IF(Scenario_Select="Scenario 2",'CBA Inputs'!N$88-'CBA Inputs'!N91,0)+IF(Scenario_Select="Scenario 3",'CBA Inputs'!N$103-'CBA Inputs'!N106,0)+IF(Scenario_Select="Scenario 4",'CBA Inputs'!N$118-'CBA Inputs'!N121,0)),0)*O$55</f>
        <v>-47</v>
      </c>
      <c r="P163" s="17">
        <f>IFERROR('Option inputs'!$F17*(IF(Scenario_Select="Scenario 1",'CBA Inputs'!O$73-'CBA Inputs'!O76,0)+IF(Scenario_Select="Scenario 2",'CBA Inputs'!O$88-'CBA Inputs'!O91,0)+IF(Scenario_Select="Scenario 3",'CBA Inputs'!O$103-'CBA Inputs'!O106,0)+IF(Scenario_Select="Scenario 4",'CBA Inputs'!O$118-'CBA Inputs'!O121,0)),0)*P$55</f>
        <v>54821205</v>
      </c>
      <c r="Q163" s="17">
        <f>IFERROR('Option inputs'!$F17*(IF(Scenario_Select="Scenario 1",'CBA Inputs'!P$73-'CBA Inputs'!P76,0)+IF(Scenario_Select="Scenario 2",'CBA Inputs'!P$88-'CBA Inputs'!P91,0)+IF(Scenario_Select="Scenario 3",'CBA Inputs'!P$103-'CBA Inputs'!P106,0)+IF(Scenario_Select="Scenario 4",'CBA Inputs'!P$118-'CBA Inputs'!P121,0)),0)*Q$55</f>
        <v>6185661</v>
      </c>
      <c r="R163" s="17">
        <f>IFERROR('Option inputs'!$F17*(IF(Scenario_Select="Scenario 1",'CBA Inputs'!Q$73-'CBA Inputs'!Q76,0)+IF(Scenario_Select="Scenario 2",'CBA Inputs'!Q$88-'CBA Inputs'!Q91,0)+IF(Scenario_Select="Scenario 3",'CBA Inputs'!Q$103-'CBA Inputs'!Q106,0)+IF(Scenario_Select="Scenario 4",'CBA Inputs'!Q$118-'CBA Inputs'!Q121,0)),0)*R$55</f>
        <v>178435</v>
      </c>
      <c r="S163" s="17">
        <f>IFERROR('Option inputs'!$F17*(IF(Scenario_Select="Scenario 1",'CBA Inputs'!R$73-'CBA Inputs'!R76,0)+IF(Scenario_Select="Scenario 2",'CBA Inputs'!R$88-'CBA Inputs'!R91,0)+IF(Scenario_Select="Scenario 3",'CBA Inputs'!R$103-'CBA Inputs'!R106,0)+IF(Scenario_Select="Scenario 4",'CBA Inputs'!R$118-'CBA Inputs'!R121,0)),0)*S$55</f>
        <v>4578629</v>
      </c>
      <c r="T163" s="17">
        <f>IFERROR('Option inputs'!$F17*(IF(Scenario_Select="Scenario 1",'CBA Inputs'!S$73-'CBA Inputs'!S76,0)+IF(Scenario_Select="Scenario 2",'CBA Inputs'!S$88-'CBA Inputs'!S91,0)+IF(Scenario_Select="Scenario 3",'CBA Inputs'!S$103-'CBA Inputs'!S106,0)+IF(Scenario_Select="Scenario 4",'CBA Inputs'!S$118-'CBA Inputs'!S121,0)),0)*T$55</f>
        <v>-66</v>
      </c>
      <c r="U163" s="17">
        <f>IFERROR('Option inputs'!$F17*(IF(Scenario_Select="Scenario 1",'CBA Inputs'!T$73-'CBA Inputs'!T76,0)+IF(Scenario_Select="Scenario 2",'CBA Inputs'!T$88-'CBA Inputs'!T91,0)+IF(Scenario_Select="Scenario 3",'CBA Inputs'!T$103-'CBA Inputs'!T106,0)+IF(Scenario_Select="Scenario 4",'CBA Inputs'!T$118-'CBA Inputs'!T121,0)),0)*U$55</f>
        <v>2260548</v>
      </c>
      <c r="V163" s="17">
        <f>IFERROR('Option inputs'!$F17*(IF(Scenario_Select="Scenario 1",'CBA Inputs'!U$73-'CBA Inputs'!U76,0)+IF(Scenario_Select="Scenario 2",'CBA Inputs'!U$88-'CBA Inputs'!U91,0)+IF(Scenario_Select="Scenario 3",'CBA Inputs'!U$103-'CBA Inputs'!U106,0)+IF(Scenario_Select="Scenario 4",'CBA Inputs'!U$118-'CBA Inputs'!U121,0)),0)*V$55</f>
        <v>13025508</v>
      </c>
      <c r="W163" s="17">
        <f>IFERROR('Option inputs'!$F17*(IF(Scenario_Select="Scenario 1",'CBA Inputs'!V$73-'CBA Inputs'!V76,0)+IF(Scenario_Select="Scenario 2",'CBA Inputs'!V$88-'CBA Inputs'!V91,0)+IF(Scenario_Select="Scenario 3",'CBA Inputs'!V$103-'CBA Inputs'!V106,0)+IF(Scenario_Select="Scenario 4",'CBA Inputs'!V$118-'CBA Inputs'!V121,0)),0)*W$55</f>
        <v>1318251</v>
      </c>
      <c r="X163" s="17">
        <f>IFERROR('Option inputs'!$F17*(IF(Scenario_Select="Scenario 1",'CBA Inputs'!W$73-'CBA Inputs'!W76,0)+IF(Scenario_Select="Scenario 2",'CBA Inputs'!W$88-'CBA Inputs'!W91,0)+IF(Scenario_Select="Scenario 3",'CBA Inputs'!W$103-'CBA Inputs'!W106,0)+IF(Scenario_Select="Scenario 4",'CBA Inputs'!W$118-'CBA Inputs'!W121,0)),0)*X$55</f>
        <v>-47</v>
      </c>
      <c r="Y163" s="17">
        <f>IFERROR('Option inputs'!$F17*(IF(Scenario_Select="Scenario 1",'CBA Inputs'!X$73-'CBA Inputs'!X76,0)+IF(Scenario_Select="Scenario 2",'CBA Inputs'!X$88-'CBA Inputs'!X91,0)+IF(Scenario_Select="Scenario 3",'CBA Inputs'!X$103-'CBA Inputs'!X106,0)+IF(Scenario_Select="Scenario 4",'CBA Inputs'!X$118-'CBA Inputs'!X121,0)),0)*Y$55</f>
        <v>-1093106</v>
      </c>
      <c r="Z163" s="17">
        <f>IFERROR('Option inputs'!$F17*(IF(Scenario_Select="Scenario 1",'CBA Inputs'!Y$73-'CBA Inputs'!Y76,0)+IF(Scenario_Select="Scenario 2",'CBA Inputs'!Y$88-'CBA Inputs'!Y91,0)+IF(Scenario_Select="Scenario 3",'CBA Inputs'!Y$103-'CBA Inputs'!Y106,0)+IF(Scenario_Select="Scenario 4",'CBA Inputs'!Y$118-'CBA Inputs'!Y121,0)),0)*Z$55</f>
        <v>-46</v>
      </c>
      <c r="AA163" s="17">
        <f>IFERROR('Option inputs'!$F17*(IF(Scenario_Select="Scenario 1",'CBA Inputs'!Z$73-'CBA Inputs'!Z76,0)+IF(Scenario_Select="Scenario 2",'CBA Inputs'!Z$88-'CBA Inputs'!Z91,0)+IF(Scenario_Select="Scenario 3",'CBA Inputs'!Z$103-'CBA Inputs'!Z106,0)+IF(Scenario_Select="Scenario 4",'CBA Inputs'!Z$118-'CBA Inputs'!Z121,0)),0)*AA$55</f>
        <v>-36</v>
      </c>
      <c r="AB163" s="17">
        <f>IFERROR('Option inputs'!$F17*(IF(Scenario_Select="Scenario 1",'CBA Inputs'!AA$73-'CBA Inputs'!AA76,0)+IF(Scenario_Select="Scenario 2",'CBA Inputs'!AA$88-'CBA Inputs'!AA91,0)+IF(Scenario_Select="Scenario 3",'CBA Inputs'!AA$103-'CBA Inputs'!AA106,0)+IF(Scenario_Select="Scenario 4",'CBA Inputs'!AA$118-'CBA Inputs'!AA121,0)),0)*AB$55</f>
        <v>-47</v>
      </c>
      <c r="AC163" s="17">
        <f>IFERROR('Option inputs'!$F17*(IF(Scenario_Select="Scenario 1",'CBA Inputs'!AB$73-'CBA Inputs'!AB76,0)+IF(Scenario_Select="Scenario 2",'CBA Inputs'!AB$88-'CBA Inputs'!AB91,0)+IF(Scenario_Select="Scenario 3",'CBA Inputs'!AB$103-'CBA Inputs'!AB106,0)+IF(Scenario_Select="Scenario 4",'CBA Inputs'!AB$118-'CBA Inputs'!AB121,0)),0)*AC$55</f>
        <v>-21</v>
      </c>
      <c r="AD163" s="17">
        <f>IFERROR('Option inputs'!$F17*(IF(Scenario_Select="Scenario 1",'CBA Inputs'!AC$73-'CBA Inputs'!AC76,0)+IF(Scenario_Select="Scenario 2",'CBA Inputs'!AC$88-'CBA Inputs'!AC91,0)+IF(Scenario_Select="Scenario 3",'CBA Inputs'!AC$103-'CBA Inputs'!AC106,0)+IF(Scenario_Select="Scenario 4",'CBA Inputs'!AC$118-'CBA Inputs'!AC121,0)),0)*AD$55</f>
        <v>1185939</v>
      </c>
      <c r="AE163" s="17">
        <f>IFERROR('Option inputs'!$F17*(IF(Scenario_Select="Scenario 1",'CBA Inputs'!AD$73-'CBA Inputs'!AD76,0)+IF(Scenario_Select="Scenario 2",'CBA Inputs'!AD$88-'CBA Inputs'!AD91,0)+IF(Scenario_Select="Scenario 3",'CBA Inputs'!AD$103-'CBA Inputs'!AD106,0)+IF(Scenario_Select="Scenario 4",'CBA Inputs'!AD$118-'CBA Inputs'!AD121,0)),0)*AE$55</f>
        <v>8243769</v>
      </c>
      <c r="AF163" s="17">
        <f>IFERROR('Option inputs'!$F17*(IF(Scenario_Select="Scenario 1",'CBA Inputs'!AE$73-'CBA Inputs'!AE76,0)+IF(Scenario_Select="Scenario 2",'CBA Inputs'!AE$88-'CBA Inputs'!AE91,0)+IF(Scenario_Select="Scenario 3",'CBA Inputs'!AE$103-'CBA Inputs'!AE106,0)+IF(Scenario_Select="Scenario 4",'CBA Inputs'!AE$118-'CBA Inputs'!AE121,0)),0)*AF$55</f>
        <v>-2</v>
      </c>
      <c r="AG163" s="17">
        <f>IFERROR('Option inputs'!$F17*(IF(Scenario_Select="Scenario 1",'CBA Inputs'!AF$73-'CBA Inputs'!AF76,0)+IF(Scenario_Select="Scenario 2",'CBA Inputs'!AF$88-'CBA Inputs'!AF91,0)+IF(Scenario_Select="Scenario 3",'CBA Inputs'!AF$103-'CBA Inputs'!AF106,0)+IF(Scenario_Select="Scenario 4",'CBA Inputs'!AF$118-'CBA Inputs'!AF121,0)),0)*AG$55</f>
        <v>0</v>
      </c>
      <c r="AH163" s="17">
        <f>IFERROR('Option inputs'!$F17*(IF(Scenario_Select="Scenario 1",'CBA Inputs'!AG$73-'CBA Inputs'!AG76,0)+IF(Scenario_Select="Scenario 2",'CBA Inputs'!AG$88-'CBA Inputs'!AG91,0)+IF(Scenario_Select="Scenario 3",'CBA Inputs'!AG$103-'CBA Inputs'!AG106,0)+IF(Scenario_Select="Scenario 4",'CBA Inputs'!AG$118-'CBA Inputs'!AG121,0)),0)*AH$55</f>
        <v>0</v>
      </c>
      <c r="AI163" s="17">
        <f>IFERROR('Option inputs'!$F17*(IF(Scenario_Select="Scenario 1",'CBA Inputs'!AH$73-'CBA Inputs'!AH76,0)+IF(Scenario_Select="Scenario 2",'CBA Inputs'!AH$88-'CBA Inputs'!AH91,0)+IF(Scenario_Select="Scenario 3",'CBA Inputs'!AH$103-'CBA Inputs'!AH106,0)+IF(Scenario_Select="Scenario 4",'CBA Inputs'!AH$118-'CBA Inputs'!AH121,0)),0)*AI$55</f>
        <v>0</v>
      </c>
      <c r="AJ163" s="17">
        <f>IFERROR('Option inputs'!$F17*(IF(Scenario_Select="Scenario 1",'CBA Inputs'!AI$73-'CBA Inputs'!AI76,0)+IF(Scenario_Select="Scenario 2",'CBA Inputs'!AI$88-'CBA Inputs'!AI91,0)+IF(Scenario_Select="Scenario 3",'CBA Inputs'!AI$103-'CBA Inputs'!AI106,0)+IF(Scenario_Select="Scenario 4",'CBA Inputs'!AI$118-'CBA Inputs'!AI121,0)),0)*AJ$55</f>
        <v>0</v>
      </c>
    </row>
    <row r="164" spans="2:36" x14ac:dyDescent="0.35">
      <c r="B164" s="9">
        <f>'Option inputs'!B18</f>
        <v>4</v>
      </c>
      <c r="C164" s="26" t="str">
        <f>'Option inputs'!C18</f>
        <v>Option 2A</v>
      </c>
      <c r="D164" s="26"/>
      <c r="E164" s="12" t="s">
        <v>35</v>
      </c>
      <c r="F164" s="18">
        <f t="shared" si="43"/>
        <v>115783826.48129158</v>
      </c>
      <c r="G164" s="17">
        <f>IFERROR('Option inputs'!$F18*(IF(Scenario_Select="Scenario 1",'CBA Inputs'!F$73-'CBA Inputs'!F77,0)+IF(Scenario_Select="Scenario 2",'CBA Inputs'!F$88-'CBA Inputs'!F92,0)+IF(Scenario_Select="Scenario 3",'CBA Inputs'!F$103-'CBA Inputs'!F107,0)+IF(Scenario_Select="Scenario 4",'CBA Inputs'!F$118-'CBA Inputs'!F122,0)),0)*G$55</f>
        <v>0</v>
      </c>
      <c r="H164" s="17">
        <f>IFERROR('Option inputs'!$F18*(IF(Scenario_Select="Scenario 1",'CBA Inputs'!G$73-'CBA Inputs'!G77,0)+IF(Scenario_Select="Scenario 2",'CBA Inputs'!G$88-'CBA Inputs'!G92,0)+IF(Scenario_Select="Scenario 3",'CBA Inputs'!G$103-'CBA Inputs'!G107,0)+IF(Scenario_Select="Scenario 4",'CBA Inputs'!G$118-'CBA Inputs'!G122,0)),0)*H$55</f>
        <v>-736</v>
      </c>
      <c r="I164" s="17">
        <f>IFERROR('Option inputs'!$F18*(IF(Scenario_Select="Scenario 1",'CBA Inputs'!H$73-'CBA Inputs'!H77,0)+IF(Scenario_Select="Scenario 2",'CBA Inputs'!H$88-'CBA Inputs'!H92,0)+IF(Scenario_Select="Scenario 3",'CBA Inputs'!H$103-'CBA Inputs'!H107,0)+IF(Scenario_Select="Scenario 4",'CBA Inputs'!H$118-'CBA Inputs'!H122,0)),0)*I$55</f>
        <v>-894</v>
      </c>
      <c r="J164" s="17">
        <f>IFERROR('Option inputs'!$F18*(IF(Scenario_Select="Scenario 1",'CBA Inputs'!I$73-'CBA Inputs'!I77,0)+IF(Scenario_Select="Scenario 2",'CBA Inputs'!I$88-'CBA Inputs'!I92,0)+IF(Scenario_Select="Scenario 3",'CBA Inputs'!I$103-'CBA Inputs'!I107,0)+IF(Scenario_Select="Scenario 4",'CBA Inputs'!I$118-'CBA Inputs'!I122,0)),0)*J$55</f>
        <v>-603</v>
      </c>
      <c r="K164" s="17">
        <f>IFERROR('Option inputs'!$F18*(IF(Scenario_Select="Scenario 1",'CBA Inputs'!J$73-'CBA Inputs'!J77,0)+IF(Scenario_Select="Scenario 2",'CBA Inputs'!J$88-'CBA Inputs'!J92,0)+IF(Scenario_Select="Scenario 3",'CBA Inputs'!J$103-'CBA Inputs'!J107,0)+IF(Scenario_Select="Scenario 4",'CBA Inputs'!J$118-'CBA Inputs'!J122,0)),0)*K$55</f>
        <v>-25308105</v>
      </c>
      <c r="L164" s="17">
        <f>IFERROR('Option inputs'!$F18*(IF(Scenario_Select="Scenario 1",'CBA Inputs'!K$73-'CBA Inputs'!K77,0)+IF(Scenario_Select="Scenario 2",'CBA Inputs'!K$88-'CBA Inputs'!K92,0)+IF(Scenario_Select="Scenario 3",'CBA Inputs'!K$103-'CBA Inputs'!K107,0)+IF(Scenario_Select="Scenario 4",'CBA Inputs'!K$118-'CBA Inputs'!K122,0)),0)*L$55</f>
        <v>115726117</v>
      </c>
      <c r="M164" s="17">
        <f>IFERROR('Option inputs'!$F18*(IF(Scenario_Select="Scenario 1",'CBA Inputs'!L$73-'CBA Inputs'!L77,0)+IF(Scenario_Select="Scenario 2",'CBA Inputs'!L$88-'CBA Inputs'!L92,0)+IF(Scenario_Select="Scenario 3",'CBA Inputs'!L$103-'CBA Inputs'!L107,0)+IF(Scenario_Select="Scenario 4",'CBA Inputs'!L$118-'CBA Inputs'!L122,0)),0)*M$55</f>
        <v>-761</v>
      </c>
      <c r="N164" s="17">
        <f>IFERROR('Option inputs'!$F18*(IF(Scenario_Select="Scenario 1",'CBA Inputs'!M$73-'CBA Inputs'!M77,0)+IF(Scenario_Select="Scenario 2",'CBA Inputs'!M$88-'CBA Inputs'!M92,0)+IF(Scenario_Select="Scenario 3",'CBA Inputs'!M$103-'CBA Inputs'!M107,0)+IF(Scenario_Select="Scenario 4",'CBA Inputs'!M$118-'CBA Inputs'!M122,0)),0)*N$55</f>
        <v>19730907</v>
      </c>
      <c r="O164" s="17">
        <f>IFERROR('Option inputs'!$F18*(IF(Scenario_Select="Scenario 1",'CBA Inputs'!N$73-'CBA Inputs'!N77,0)+IF(Scenario_Select="Scenario 2",'CBA Inputs'!N$88-'CBA Inputs'!N92,0)+IF(Scenario_Select="Scenario 3",'CBA Inputs'!N$103-'CBA Inputs'!N107,0)+IF(Scenario_Select="Scenario 4",'CBA Inputs'!N$118-'CBA Inputs'!N122,0)),0)*O$55</f>
        <v>-747</v>
      </c>
      <c r="P164" s="17">
        <f>IFERROR('Option inputs'!$F18*(IF(Scenario_Select="Scenario 1",'CBA Inputs'!O$73-'CBA Inputs'!O77,0)+IF(Scenario_Select="Scenario 2",'CBA Inputs'!O$88-'CBA Inputs'!O92,0)+IF(Scenario_Select="Scenario 3",'CBA Inputs'!O$103-'CBA Inputs'!O107,0)+IF(Scenario_Select="Scenario 4",'CBA Inputs'!O$118-'CBA Inputs'!O122,0)),0)*P$55</f>
        <v>42069198</v>
      </c>
      <c r="Q164" s="17">
        <f>IFERROR('Option inputs'!$F18*(IF(Scenario_Select="Scenario 1",'CBA Inputs'!P$73-'CBA Inputs'!P77,0)+IF(Scenario_Select="Scenario 2",'CBA Inputs'!P$88-'CBA Inputs'!P92,0)+IF(Scenario_Select="Scenario 3",'CBA Inputs'!P$103-'CBA Inputs'!P107,0)+IF(Scenario_Select="Scenario 4",'CBA Inputs'!P$118-'CBA Inputs'!P122,0)),0)*Q$55</f>
        <v>5029568</v>
      </c>
      <c r="R164" s="17">
        <f>IFERROR('Option inputs'!$F18*(IF(Scenario_Select="Scenario 1",'CBA Inputs'!Q$73-'CBA Inputs'!Q77,0)+IF(Scenario_Select="Scenario 2",'CBA Inputs'!Q$88-'CBA Inputs'!Q92,0)+IF(Scenario_Select="Scenario 3",'CBA Inputs'!Q$103-'CBA Inputs'!Q107,0)+IF(Scenario_Select="Scenario 4",'CBA Inputs'!Q$118-'CBA Inputs'!Q122,0)),0)*R$55</f>
        <v>177708</v>
      </c>
      <c r="S164" s="17">
        <f>IFERROR('Option inputs'!$F18*(IF(Scenario_Select="Scenario 1",'CBA Inputs'!R$73-'CBA Inputs'!R77,0)+IF(Scenario_Select="Scenario 2",'CBA Inputs'!R$88-'CBA Inputs'!R92,0)+IF(Scenario_Select="Scenario 3",'CBA Inputs'!R$103-'CBA Inputs'!R107,0)+IF(Scenario_Select="Scenario 4",'CBA Inputs'!R$118-'CBA Inputs'!R122,0)),0)*S$55</f>
        <v>1766346</v>
      </c>
      <c r="T164" s="17">
        <f>IFERROR('Option inputs'!$F18*(IF(Scenario_Select="Scenario 1",'CBA Inputs'!S$73-'CBA Inputs'!S77,0)+IF(Scenario_Select="Scenario 2",'CBA Inputs'!S$88-'CBA Inputs'!S92,0)+IF(Scenario_Select="Scenario 3",'CBA Inputs'!S$103-'CBA Inputs'!S107,0)+IF(Scenario_Select="Scenario 4",'CBA Inputs'!S$118-'CBA Inputs'!S122,0)),0)*T$55</f>
        <v>-804</v>
      </c>
      <c r="U164" s="17">
        <f>IFERROR('Option inputs'!$F18*(IF(Scenario_Select="Scenario 1",'CBA Inputs'!T$73-'CBA Inputs'!T77,0)+IF(Scenario_Select="Scenario 2",'CBA Inputs'!T$88-'CBA Inputs'!T92,0)+IF(Scenario_Select="Scenario 3",'CBA Inputs'!T$103-'CBA Inputs'!T107,0)+IF(Scenario_Select="Scenario 4",'CBA Inputs'!T$118-'CBA Inputs'!T122,0)),0)*U$55</f>
        <v>3416074</v>
      </c>
      <c r="V164" s="17">
        <f>IFERROR('Option inputs'!$F18*(IF(Scenario_Select="Scenario 1",'CBA Inputs'!U$73-'CBA Inputs'!U77,0)+IF(Scenario_Select="Scenario 2",'CBA Inputs'!U$88-'CBA Inputs'!U92,0)+IF(Scenario_Select="Scenario 3",'CBA Inputs'!U$103-'CBA Inputs'!U107,0)+IF(Scenario_Select="Scenario 4",'CBA Inputs'!U$118-'CBA Inputs'!U122,0)),0)*V$55</f>
        <v>9010705</v>
      </c>
      <c r="W164" s="17">
        <f>IFERROR('Option inputs'!$F18*(IF(Scenario_Select="Scenario 1",'CBA Inputs'!V$73-'CBA Inputs'!V77,0)+IF(Scenario_Select="Scenario 2",'CBA Inputs'!V$88-'CBA Inputs'!V92,0)+IF(Scenario_Select="Scenario 3",'CBA Inputs'!V$103-'CBA Inputs'!V107,0)+IF(Scenario_Select="Scenario 4",'CBA Inputs'!V$118-'CBA Inputs'!V122,0)),0)*W$55</f>
        <v>-500155</v>
      </c>
      <c r="X164" s="17">
        <f>IFERROR('Option inputs'!$F18*(IF(Scenario_Select="Scenario 1",'CBA Inputs'!W$73-'CBA Inputs'!W77,0)+IF(Scenario_Select="Scenario 2",'CBA Inputs'!W$88-'CBA Inputs'!W92,0)+IF(Scenario_Select="Scenario 3",'CBA Inputs'!W$103-'CBA Inputs'!W107,0)+IF(Scenario_Select="Scenario 4",'CBA Inputs'!W$118-'CBA Inputs'!W122,0)),0)*X$55</f>
        <v>-822</v>
      </c>
      <c r="Y164" s="17">
        <f>IFERROR('Option inputs'!$F18*(IF(Scenario_Select="Scenario 1",'CBA Inputs'!X$73-'CBA Inputs'!X77,0)+IF(Scenario_Select="Scenario 2",'CBA Inputs'!X$88-'CBA Inputs'!X92,0)+IF(Scenario_Select="Scenario 3",'CBA Inputs'!X$103-'CBA Inputs'!X107,0)+IF(Scenario_Select="Scenario 4",'CBA Inputs'!X$118-'CBA Inputs'!X122,0)),0)*Y$55</f>
        <v>2459358</v>
      </c>
      <c r="Z164" s="17">
        <f>IFERROR('Option inputs'!$F18*(IF(Scenario_Select="Scenario 1",'CBA Inputs'!Y$73-'CBA Inputs'!Y77,0)+IF(Scenario_Select="Scenario 2",'CBA Inputs'!Y$88-'CBA Inputs'!Y92,0)+IF(Scenario_Select="Scenario 3",'CBA Inputs'!Y$103-'CBA Inputs'!Y107,0)+IF(Scenario_Select="Scenario 4",'CBA Inputs'!Y$118-'CBA Inputs'!Y122,0)),0)*Z$55</f>
        <v>-858</v>
      </c>
      <c r="AA164" s="17">
        <f>IFERROR('Option inputs'!$F18*(IF(Scenario_Select="Scenario 1",'CBA Inputs'!Z$73-'CBA Inputs'!Z77,0)+IF(Scenario_Select="Scenario 2",'CBA Inputs'!Z$88-'CBA Inputs'!Z92,0)+IF(Scenario_Select="Scenario 3",'CBA Inputs'!Z$103-'CBA Inputs'!Z107,0)+IF(Scenario_Select="Scenario 4",'CBA Inputs'!Z$118-'CBA Inputs'!Z122,0)),0)*AA$55</f>
        <v>-884</v>
      </c>
      <c r="AB164" s="17">
        <f>IFERROR('Option inputs'!$F18*(IF(Scenario_Select="Scenario 1",'CBA Inputs'!AA$73-'CBA Inputs'!AA77,0)+IF(Scenario_Select="Scenario 2",'CBA Inputs'!AA$88-'CBA Inputs'!AA92,0)+IF(Scenario_Select="Scenario 3",'CBA Inputs'!AA$103-'CBA Inputs'!AA107,0)+IF(Scenario_Select="Scenario 4",'CBA Inputs'!AA$118-'CBA Inputs'!AA122,0)),0)*AB$55</f>
        <v>-906</v>
      </c>
      <c r="AC164" s="17">
        <f>IFERROR('Option inputs'!$F18*(IF(Scenario_Select="Scenario 1",'CBA Inputs'!AB$73-'CBA Inputs'!AB77,0)+IF(Scenario_Select="Scenario 2",'CBA Inputs'!AB$88-'CBA Inputs'!AB92,0)+IF(Scenario_Select="Scenario 3",'CBA Inputs'!AB$103-'CBA Inputs'!AB107,0)+IF(Scenario_Select="Scenario 4",'CBA Inputs'!AB$118-'CBA Inputs'!AB122,0)),0)*AC$55</f>
        <v>-1510172</v>
      </c>
      <c r="AD164" s="17">
        <f>IFERROR('Option inputs'!$F18*(IF(Scenario_Select="Scenario 1",'CBA Inputs'!AC$73-'CBA Inputs'!AC77,0)+IF(Scenario_Select="Scenario 2",'CBA Inputs'!AC$88-'CBA Inputs'!AC92,0)+IF(Scenario_Select="Scenario 3",'CBA Inputs'!AC$103-'CBA Inputs'!AC107,0)+IF(Scenario_Select="Scenario 4",'CBA Inputs'!AC$118-'CBA Inputs'!AC122,0)),0)*AD$55</f>
        <v>2684357</v>
      </c>
      <c r="AE164" s="17">
        <f>IFERROR('Option inputs'!$F18*(IF(Scenario_Select="Scenario 1",'CBA Inputs'!AD$73-'CBA Inputs'!AD77,0)+IF(Scenario_Select="Scenario 2",'CBA Inputs'!AD$88-'CBA Inputs'!AD92,0)+IF(Scenario_Select="Scenario 3",'CBA Inputs'!AD$103-'CBA Inputs'!AD107,0)+IF(Scenario_Select="Scenario 4",'CBA Inputs'!AD$118-'CBA Inputs'!AD122,0)),0)*AE$55</f>
        <v>2269568</v>
      </c>
      <c r="AF164" s="17">
        <f>IFERROR('Option inputs'!$F18*(IF(Scenario_Select="Scenario 1",'CBA Inputs'!AE$73-'CBA Inputs'!AE77,0)+IF(Scenario_Select="Scenario 2",'CBA Inputs'!AE$88-'CBA Inputs'!AE92,0)+IF(Scenario_Select="Scenario 3",'CBA Inputs'!AE$103-'CBA Inputs'!AE107,0)+IF(Scenario_Select="Scenario 4",'CBA Inputs'!AE$118-'CBA Inputs'!AE122,0)),0)*AF$55</f>
        <v>-1070</v>
      </c>
      <c r="AG164" s="17">
        <f>IFERROR('Option inputs'!$F18*(IF(Scenario_Select="Scenario 1",'CBA Inputs'!AF$73-'CBA Inputs'!AF77,0)+IF(Scenario_Select="Scenario 2",'CBA Inputs'!AF$88-'CBA Inputs'!AF92,0)+IF(Scenario_Select="Scenario 3",'CBA Inputs'!AF$103-'CBA Inputs'!AF107,0)+IF(Scenario_Select="Scenario 4",'CBA Inputs'!AF$118-'CBA Inputs'!AF122,0)),0)*AG$55</f>
        <v>0</v>
      </c>
      <c r="AH164" s="17">
        <f>IFERROR('Option inputs'!$F18*(IF(Scenario_Select="Scenario 1",'CBA Inputs'!AG$73-'CBA Inputs'!AG77,0)+IF(Scenario_Select="Scenario 2",'CBA Inputs'!AG$88-'CBA Inputs'!AG92,0)+IF(Scenario_Select="Scenario 3",'CBA Inputs'!AG$103-'CBA Inputs'!AG107,0)+IF(Scenario_Select="Scenario 4",'CBA Inputs'!AG$118-'CBA Inputs'!AG122,0)),0)*AH$55</f>
        <v>0</v>
      </c>
      <c r="AI164" s="17">
        <f>IFERROR('Option inputs'!$F18*(IF(Scenario_Select="Scenario 1",'CBA Inputs'!AH$73-'CBA Inputs'!AH77,0)+IF(Scenario_Select="Scenario 2",'CBA Inputs'!AH$88-'CBA Inputs'!AH92,0)+IF(Scenario_Select="Scenario 3",'CBA Inputs'!AH$103-'CBA Inputs'!AH107,0)+IF(Scenario_Select="Scenario 4",'CBA Inputs'!AH$118-'CBA Inputs'!AH122,0)),0)*AI$55</f>
        <v>0</v>
      </c>
      <c r="AJ164" s="17">
        <f>IFERROR('Option inputs'!$F18*(IF(Scenario_Select="Scenario 1",'CBA Inputs'!AI$73-'CBA Inputs'!AI77,0)+IF(Scenario_Select="Scenario 2",'CBA Inputs'!AI$88-'CBA Inputs'!AI92,0)+IF(Scenario_Select="Scenario 3",'CBA Inputs'!AI$103-'CBA Inputs'!AI107,0)+IF(Scenario_Select="Scenario 4",'CBA Inputs'!AI$118-'CBA Inputs'!AI122,0)),0)*AJ$55</f>
        <v>0</v>
      </c>
    </row>
    <row r="165" spans="2:36" x14ac:dyDescent="0.35">
      <c r="B165" s="9">
        <f>'Option inputs'!B19</f>
        <v>5</v>
      </c>
      <c r="C165" s="26" t="str">
        <f>'Option inputs'!C19</f>
        <v>Option 2B</v>
      </c>
      <c r="D165" s="26"/>
      <c r="E165" s="12" t="s">
        <v>35</v>
      </c>
      <c r="F165" s="18">
        <f t="shared" si="43"/>
        <v>130332377.43944189</v>
      </c>
      <c r="G165" s="17">
        <f>IFERROR('Option inputs'!$F19*(IF(Scenario_Select="Scenario 1",'CBA Inputs'!F$73-'CBA Inputs'!F78,0)+IF(Scenario_Select="Scenario 2",'CBA Inputs'!F$88-'CBA Inputs'!F93,0)+IF(Scenario_Select="Scenario 3",'CBA Inputs'!F$103-'CBA Inputs'!F108,0)+IF(Scenario_Select="Scenario 4",'CBA Inputs'!F$118-'CBA Inputs'!F123,0)),0)*G$55</f>
        <v>0</v>
      </c>
      <c r="H165" s="17">
        <f>IFERROR('Option inputs'!$F19*(IF(Scenario_Select="Scenario 1",'CBA Inputs'!G$73-'CBA Inputs'!G78,0)+IF(Scenario_Select="Scenario 2",'CBA Inputs'!G$88-'CBA Inputs'!G93,0)+IF(Scenario_Select="Scenario 3",'CBA Inputs'!G$103-'CBA Inputs'!G108,0)+IF(Scenario_Select="Scenario 4",'CBA Inputs'!G$118-'CBA Inputs'!G123,0)),0)*H$55</f>
        <v>78</v>
      </c>
      <c r="I165" s="17">
        <f>IFERROR('Option inputs'!$F19*(IF(Scenario_Select="Scenario 1",'CBA Inputs'!H$73-'CBA Inputs'!H78,0)+IF(Scenario_Select="Scenario 2",'CBA Inputs'!H$88-'CBA Inputs'!H93,0)+IF(Scenario_Select="Scenario 3",'CBA Inputs'!H$103-'CBA Inputs'!H108,0)+IF(Scenario_Select="Scenario 4",'CBA Inputs'!H$118-'CBA Inputs'!H123,0)),0)*I$55</f>
        <v>27</v>
      </c>
      <c r="J165" s="17">
        <f>IFERROR('Option inputs'!$F19*(IF(Scenario_Select="Scenario 1",'CBA Inputs'!I$73-'CBA Inputs'!I78,0)+IF(Scenario_Select="Scenario 2",'CBA Inputs'!I$88-'CBA Inputs'!I93,0)+IF(Scenario_Select="Scenario 3",'CBA Inputs'!I$103-'CBA Inputs'!I108,0)+IF(Scenario_Select="Scenario 4",'CBA Inputs'!I$118-'CBA Inputs'!I123,0)),0)*J$55</f>
        <v>13</v>
      </c>
      <c r="K165" s="17">
        <f>IFERROR('Option inputs'!$F19*(IF(Scenario_Select="Scenario 1",'CBA Inputs'!J$73-'CBA Inputs'!J78,0)+IF(Scenario_Select="Scenario 2",'CBA Inputs'!J$88-'CBA Inputs'!J93,0)+IF(Scenario_Select="Scenario 3",'CBA Inputs'!J$103-'CBA Inputs'!J108,0)+IF(Scenario_Select="Scenario 4",'CBA Inputs'!J$118-'CBA Inputs'!J123,0)),0)*K$55</f>
        <v>-28870485</v>
      </c>
      <c r="L165" s="17">
        <f>IFERROR('Option inputs'!$F19*(IF(Scenario_Select="Scenario 1",'CBA Inputs'!K$73-'CBA Inputs'!K78,0)+IF(Scenario_Select="Scenario 2",'CBA Inputs'!K$88-'CBA Inputs'!K93,0)+IF(Scenario_Select="Scenario 3",'CBA Inputs'!K$103-'CBA Inputs'!K108,0)+IF(Scenario_Select="Scenario 4",'CBA Inputs'!K$118-'CBA Inputs'!K123,0)),0)*L$55</f>
        <v>124387733</v>
      </c>
      <c r="M165" s="17">
        <f>IFERROR('Option inputs'!$F19*(IF(Scenario_Select="Scenario 1",'CBA Inputs'!L$73-'CBA Inputs'!L78,0)+IF(Scenario_Select="Scenario 2",'CBA Inputs'!L$88-'CBA Inputs'!L93,0)+IF(Scenario_Select="Scenario 3",'CBA Inputs'!L$103-'CBA Inputs'!L108,0)+IF(Scenario_Select="Scenario 4",'CBA Inputs'!L$118-'CBA Inputs'!L123,0)),0)*M$55</f>
        <v>-31</v>
      </c>
      <c r="N165" s="17">
        <f>IFERROR('Option inputs'!$F19*(IF(Scenario_Select="Scenario 1",'CBA Inputs'!M$73-'CBA Inputs'!M78,0)+IF(Scenario_Select="Scenario 2",'CBA Inputs'!M$88-'CBA Inputs'!M93,0)+IF(Scenario_Select="Scenario 3",'CBA Inputs'!M$103-'CBA Inputs'!M108,0)+IF(Scenario_Select="Scenario 4",'CBA Inputs'!M$118-'CBA Inputs'!M123,0)),0)*N$55</f>
        <v>19731651</v>
      </c>
      <c r="O165" s="17">
        <f>IFERROR('Option inputs'!$F19*(IF(Scenario_Select="Scenario 1",'CBA Inputs'!N$73-'CBA Inputs'!N78,0)+IF(Scenario_Select="Scenario 2",'CBA Inputs'!N$88-'CBA Inputs'!N93,0)+IF(Scenario_Select="Scenario 3",'CBA Inputs'!N$103-'CBA Inputs'!N108,0)+IF(Scenario_Select="Scenario 4",'CBA Inputs'!N$118-'CBA Inputs'!N123,0)),0)*O$55</f>
        <v>-30</v>
      </c>
      <c r="P165" s="17">
        <f>IFERROR('Option inputs'!$F19*(IF(Scenario_Select="Scenario 1",'CBA Inputs'!O$73-'CBA Inputs'!O78,0)+IF(Scenario_Select="Scenario 2",'CBA Inputs'!O$88-'CBA Inputs'!O93,0)+IF(Scenario_Select="Scenario 3",'CBA Inputs'!O$103-'CBA Inputs'!O108,0)+IF(Scenario_Select="Scenario 4",'CBA Inputs'!O$118-'CBA Inputs'!O123,0)),0)*P$55</f>
        <v>46049359</v>
      </c>
      <c r="Q165" s="17">
        <f>IFERROR('Option inputs'!$F19*(IF(Scenario_Select="Scenario 1",'CBA Inputs'!P$73-'CBA Inputs'!P78,0)+IF(Scenario_Select="Scenario 2",'CBA Inputs'!P$88-'CBA Inputs'!P93,0)+IF(Scenario_Select="Scenario 3",'CBA Inputs'!P$103-'CBA Inputs'!P108,0)+IF(Scenario_Select="Scenario 4",'CBA Inputs'!P$118-'CBA Inputs'!P123,0)),0)*Q$55</f>
        <v>6185663</v>
      </c>
      <c r="R165" s="17">
        <f>IFERROR('Option inputs'!$F19*(IF(Scenario_Select="Scenario 1",'CBA Inputs'!Q$73-'CBA Inputs'!Q78,0)+IF(Scenario_Select="Scenario 2",'CBA Inputs'!Q$88-'CBA Inputs'!Q93,0)+IF(Scenario_Select="Scenario 3",'CBA Inputs'!Q$103-'CBA Inputs'!Q108,0)+IF(Scenario_Select="Scenario 4",'CBA Inputs'!Q$118-'CBA Inputs'!Q123,0)),0)*R$55</f>
        <v>178404</v>
      </c>
      <c r="S165" s="17">
        <f>IFERROR('Option inputs'!$F19*(IF(Scenario_Select="Scenario 1",'CBA Inputs'!R$73-'CBA Inputs'!R78,0)+IF(Scenario_Select="Scenario 2",'CBA Inputs'!R$88-'CBA Inputs'!R93,0)+IF(Scenario_Select="Scenario 3",'CBA Inputs'!R$103-'CBA Inputs'!R108,0)+IF(Scenario_Select="Scenario 4",'CBA Inputs'!R$118-'CBA Inputs'!R123,0)),0)*S$55</f>
        <v>5112221</v>
      </c>
      <c r="T165" s="17">
        <f>IFERROR('Option inputs'!$F19*(IF(Scenario_Select="Scenario 1",'CBA Inputs'!S$73-'CBA Inputs'!S78,0)+IF(Scenario_Select="Scenario 2",'CBA Inputs'!S$88-'CBA Inputs'!S93,0)+IF(Scenario_Select="Scenario 3",'CBA Inputs'!S$103-'CBA Inputs'!S108,0)+IF(Scenario_Select="Scenario 4",'CBA Inputs'!S$118-'CBA Inputs'!S123,0)),0)*T$55</f>
        <v>-121</v>
      </c>
      <c r="U165" s="17">
        <f>IFERROR('Option inputs'!$F19*(IF(Scenario_Select="Scenario 1",'CBA Inputs'!T$73-'CBA Inputs'!T78,0)+IF(Scenario_Select="Scenario 2",'CBA Inputs'!T$88-'CBA Inputs'!T93,0)+IF(Scenario_Select="Scenario 3",'CBA Inputs'!T$103-'CBA Inputs'!T108,0)+IF(Scenario_Select="Scenario 4",'CBA Inputs'!T$118-'CBA Inputs'!T123,0)),0)*U$55</f>
        <v>6369145</v>
      </c>
      <c r="V165" s="17">
        <f>IFERROR('Option inputs'!$F19*(IF(Scenario_Select="Scenario 1",'CBA Inputs'!U$73-'CBA Inputs'!U78,0)+IF(Scenario_Select="Scenario 2",'CBA Inputs'!U$88-'CBA Inputs'!U93,0)+IF(Scenario_Select="Scenario 3",'CBA Inputs'!U$103-'CBA Inputs'!U108,0)+IF(Scenario_Select="Scenario 4",'CBA Inputs'!U$118-'CBA Inputs'!U123,0)),0)*V$55</f>
        <v>17170857</v>
      </c>
      <c r="W165" s="17">
        <f>IFERROR('Option inputs'!$F19*(IF(Scenario_Select="Scenario 1",'CBA Inputs'!V$73-'CBA Inputs'!V78,0)+IF(Scenario_Select="Scenario 2",'CBA Inputs'!V$88-'CBA Inputs'!V93,0)+IF(Scenario_Select="Scenario 3",'CBA Inputs'!V$103-'CBA Inputs'!V108,0)+IF(Scenario_Select="Scenario 4",'CBA Inputs'!V$118-'CBA Inputs'!V123,0)),0)*W$55</f>
        <v>1318141</v>
      </c>
      <c r="X165" s="17">
        <f>IFERROR('Option inputs'!$F19*(IF(Scenario_Select="Scenario 1",'CBA Inputs'!W$73-'CBA Inputs'!W78,0)+IF(Scenario_Select="Scenario 2",'CBA Inputs'!W$88-'CBA Inputs'!W93,0)+IF(Scenario_Select="Scenario 3",'CBA Inputs'!W$103-'CBA Inputs'!W108,0)+IF(Scenario_Select="Scenario 4",'CBA Inputs'!W$118-'CBA Inputs'!W123,0)),0)*X$55</f>
        <v>-177</v>
      </c>
      <c r="Y165" s="17">
        <f>IFERROR('Option inputs'!$F19*(IF(Scenario_Select="Scenario 1",'CBA Inputs'!X$73-'CBA Inputs'!X78,0)+IF(Scenario_Select="Scenario 2",'CBA Inputs'!X$88-'CBA Inputs'!X93,0)+IF(Scenario_Select="Scenario 3",'CBA Inputs'!X$103-'CBA Inputs'!X108,0)+IF(Scenario_Select="Scenario 4",'CBA Inputs'!X$118-'CBA Inputs'!X123,0)),0)*Y$55</f>
        <v>2893013</v>
      </c>
      <c r="Z165" s="17">
        <f>IFERROR('Option inputs'!$F19*(IF(Scenario_Select="Scenario 1",'CBA Inputs'!Y$73-'CBA Inputs'!Y78,0)+IF(Scenario_Select="Scenario 2",'CBA Inputs'!Y$88-'CBA Inputs'!Y93,0)+IF(Scenario_Select="Scenario 3",'CBA Inputs'!Y$103-'CBA Inputs'!Y108,0)+IF(Scenario_Select="Scenario 4",'CBA Inputs'!Y$118-'CBA Inputs'!Y123,0)),0)*Z$55</f>
        <v>-234</v>
      </c>
      <c r="AA165" s="17">
        <f>IFERROR('Option inputs'!$F19*(IF(Scenario_Select="Scenario 1",'CBA Inputs'!Z$73-'CBA Inputs'!Z78,0)+IF(Scenario_Select="Scenario 2",'CBA Inputs'!Z$88-'CBA Inputs'!Z93,0)+IF(Scenario_Select="Scenario 3",'CBA Inputs'!Z$103-'CBA Inputs'!Z108,0)+IF(Scenario_Select="Scenario 4",'CBA Inputs'!Z$118-'CBA Inputs'!Z123,0)),0)*AA$55</f>
        <v>-272</v>
      </c>
      <c r="AB165" s="17">
        <f>IFERROR('Option inputs'!$F19*(IF(Scenario_Select="Scenario 1",'CBA Inputs'!AA$73-'CBA Inputs'!AA78,0)+IF(Scenario_Select="Scenario 2",'CBA Inputs'!AA$88-'CBA Inputs'!AA93,0)+IF(Scenario_Select="Scenario 3",'CBA Inputs'!AA$103-'CBA Inputs'!AA108,0)+IF(Scenario_Select="Scenario 4",'CBA Inputs'!AA$118-'CBA Inputs'!AA123,0)),0)*AB$55</f>
        <v>-277</v>
      </c>
      <c r="AC165" s="17">
        <f>IFERROR('Option inputs'!$F19*(IF(Scenario_Select="Scenario 1",'CBA Inputs'!AB$73-'CBA Inputs'!AB78,0)+IF(Scenario_Select="Scenario 2",'CBA Inputs'!AB$88-'CBA Inputs'!AB93,0)+IF(Scenario_Select="Scenario 3",'CBA Inputs'!AB$103-'CBA Inputs'!AB108,0)+IF(Scenario_Select="Scenario 4",'CBA Inputs'!AB$118-'CBA Inputs'!AB123,0)),0)*AC$55</f>
        <v>-317</v>
      </c>
      <c r="AD165" s="17">
        <f>IFERROR('Option inputs'!$F19*(IF(Scenario_Select="Scenario 1",'CBA Inputs'!AC$73-'CBA Inputs'!AC78,0)+IF(Scenario_Select="Scenario 2",'CBA Inputs'!AC$88-'CBA Inputs'!AC93,0)+IF(Scenario_Select="Scenario 3",'CBA Inputs'!AC$103-'CBA Inputs'!AC108,0)+IF(Scenario_Select="Scenario 4",'CBA Inputs'!AC$118-'CBA Inputs'!AC123,0)),0)*AD$55</f>
        <v>-101861</v>
      </c>
      <c r="AE165" s="17">
        <f>IFERROR('Option inputs'!$F19*(IF(Scenario_Select="Scenario 1",'CBA Inputs'!AD$73-'CBA Inputs'!AD78,0)+IF(Scenario_Select="Scenario 2",'CBA Inputs'!AD$88-'CBA Inputs'!AD93,0)+IF(Scenario_Select="Scenario 3",'CBA Inputs'!AD$103-'CBA Inputs'!AD108,0)+IF(Scenario_Select="Scenario 4",'CBA Inputs'!AD$118-'CBA Inputs'!AD123,0)),0)*AE$55</f>
        <v>5525990</v>
      </c>
      <c r="AF165" s="17">
        <f>IFERROR('Option inputs'!$F19*(IF(Scenario_Select="Scenario 1",'CBA Inputs'!AE$73-'CBA Inputs'!AE78,0)+IF(Scenario_Select="Scenario 2",'CBA Inputs'!AE$88-'CBA Inputs'!AE93,0)+IF(Scenario_Select="Scenario 3",'CBA Inputs'!AE$103-'CBA Inputs'!AE108,0)+IF(Scenario_Select="Scenario 4",'CBA Inputs'!AE$118-'CBA Inputs'!AE123,0)),0)*AF$55</f>
        <v>-394</v>
      </c>
      <c r="AG165" s="17">
        <f>IFERROR('Option inputs'!$F19*(IF(Scenario_Select="Scenario 1",'CBA Inputs'!AF$73-'CBA Inputs'!AF78,0)+IF(Scenario_Select="Scenario 2",'CBA Inputs'!AF$88-'CBA Inputs'!AF93,0)+IF(Scenario_Select="Scenario 3",'CBA Inputs'!AF$103-'CBA Inputs'!AF108,0)+IF(Scenario_Select="Scenario 4",'CBA Inputs'!AF$118-'CBA Inputs'!AF123,0)),0)*AG$55</f>
        <v>0</v>
      </c>
      <c r="AH165" s="17">
        <f>IFERROR('Option inputs'!$F19*(IF(Scenario_Select="Scenario 1",'CBA Inputs'!AG$73-'CBA Inputs'!AG78,0)+IF(Scenario_Select="Scenario 2",'CBA Inputs'!AG$88-'CBA Inputs'!AG93,0)+IF(Scenario_Select="Scenario 3",'CBA Inputs'!AG$103-'CBA Inputs'!AG108,0)+IF(Scenario_Select="Scenario 4",'CBA Inputs'!AG$118-'CBA Inputs'!AG123,0)),0)*AH$55</f>
        <v>0</v>
      </c>
      <c r="AI165" s="17">
        <f>IFERROR('Option inputs'!$F19*(IF(Scenario_Select="Scenario 1",'CBA Inputs'!AH$73-'CBA Inputs'!AH78,0)+IF(Scenario_Select="Scenario 2",'CBA Inputs'!AH$88-'CBA Inputs'!AH93,0)+IF(Scenario_Select="Scenario 3",'CBA Inputs'!AH$103-'CBA Inputs'!AH108,0)+IF(Scenario_Select="Scenario 4",'CBA Inputs'!AH$118-'CBA Inputs'!AH123,0)),0)*AI$55</f>
        <v>0</v>
      </c>
      <c r="AJ165" s="17">
        <f>IFERROR('Option inputs'!$F19*(IF(Scenario_Select="Scenario 1",'CBA Inputs'!AI$73-'CBA Inputs'!AI78,0)+IF(Scenario_Select="Scenario 2",'CBA Inputs'!AI$88-'CBA Inputs'!AI93,0)+IF(Scenario_Select="Scenario 3",'CBA Inputs'!AI$103-'CBA Inputs'!AI108,0)+IF(Scenario_Select="Scenario 4",'CBA Inputs'!AI$118-'CBA Inputs'!AI123,0)),0)*AJ$55</f>
        <v>0</v>
      </c>
    </row>
    <row r="166" spans="2:36" x14ac:dyDescent="0.35">
      <c r="B166" s="9">
        <f>'Option inputs'!B20</f>
        <v>6</v>
      </c>
      <c r="C166" s="26" t="str">
        <f>'Option inputs'!C20</f>
        <v>Option 2C</v>
      </c>
      <c r="D166" s="26"/>
      <c r="E166" s="12" t="s">
        <v>35</v>
      </c>
      <c r="F166" s="18">
        <f t="shared" si="43"/>
        <v>153261804.57208744</v>
      </c>
      <c r="G166" s="17">
        <f>IFERROR('Option inputs'!$F20*(IF(Scenario_Select="Scenario 1",'CBA Inputs'!F$73-'CBA Inputs'!F79,0)+IF(Scenario_Select="Scenario 2",'CBA Inputs'!F$88-'CBA Inputs'!F94,0)+IF(Scenario_Select="Scenario 3",'CBA Inputs'!F$103-'CBA Inputs'!F109,0)+IF(Scenario_Select="Scenario 4",'CBA Inputs'!F$118-'CBA Inputs'!F124,0)),0)*G$55</f>
        <v>0</v>
      </c>
      <c r="H166" s="17">
        <f>IFERROR('Option inputs'!$F20*(IF(Scenario_Select="Scenario 1",'CBA Inputs'!G$73-'CBA Inputs'!G79,0)+IF(Scenario_Select="Scenario 2",'CBA Inputs'!G$88-'CBA Inputs'!G94,0)+IF(Scenario_Select="Scenario 3",'CBA Inputs'!G$103-'CBA Inputs'!G109,0)+IF(Scenario_Select="Scenario 4",'CBA Inputs'!G$118-'CBA Inputs'!G124,0)),0)*H$55</f>
        <v>101</v>
      </c>
      <c r="I166" s="17">
        <f>IFERROR('Option inputs'!$F20*(IF(Scenario_Select="Scenario 1",'CBA Inputs'!H$73-'CBA Inputs'!H79,0)+IF(Scenario_Select="Scenario 2",'CBA Inputs'!H$88-'CBA Inputs'!H94,0)+IF(Scenario_Select="Scenario 3",'CBA Inputs'!H$103-'CBA Inputs'!H109,0)+IF(Scenario_Select="Scenario 4",'CBA Inputs'!H$118-'CBA Inputs'!H124,0)),0)*I$55</f>
        <v>32</v>
      </c>
      <c r="J166" s="17">
        <f>IFERROR('Option inputs'!$F20*(IF(Scenario_Select="Scenario 1",'CBA Inputs'!I$73-'CBA Inputs'!I79,0)+IF(Scenario_Select="Scenario 2",'CBA Inputs'!I$88-'CBA Inputs'!I94,0)+IF(Scenario_Select="Scenario 3",'CBA Inputs'!I$103-'CBA Inputs'!I109,0)+IF(Scenario_Select="Scenario 4",'CBA Inputs'!I$118-'CBA Inputs'!I124,0)),0)*J$55</f>
        <v>-20</v>
      </c>
      <c r="K166" s="17">
        <f>IFERROR('Option inputs'!$F20*(IF(Scenario_Select="Scenario 1",'CBA Inputs'!J$73-'CBA Inputs'!J79,0)+IF(Scenario_Select="Scenario 2",'CBA Inputs'!J$88-'CBA Inputs'!J94,0)+IF(Scenario_Select="Scenario 3",'CBA Inputs'!J$103-'CBA Inputs'!J109,0)+IF(Scenario_Select="Scenario 4",'CBA Inputs'!J$118-'CBA Inputs'!J124,0)),0)*K$55</f>
        <v>-46806377</v>
      </c>
      <c r="L166" s="17">
        <f>IFERROR('Option inputs'!$F20*(IF(Scenario_Select="Scenario 1",'CBA Inputs'!K$73-'CBA Inputs'!K79,0)+IF(Scenario_Select="Scenario 2",'CBA Inputs'!K$88-'CBA Inputs'!K94,0)+IF(Scenario_Select="Scenario 3",'CBA Inputs'!K$103-'CBA Inputs'!K109,0)+IF(Scenario_Select="Scenario 4",'CBA Inputs'!K$118-'CBA Inputs'!K124,0)),0)*L$55</f>
        <v>166953177</v>
      </c>
      <c r="M166" s="17">
        <f>IFERROR('Option inputs'!$F20*(IF(Scenario_Select="Scenario 1",'CBA Inputs'!L$73-'CBA Inputs'!L79,0)+IF(Scenario_Select="Scenario 2",'CBA Inputs'!L$88-'CBA Inputs'!L94,0)+IF(Scenario_Select="Scenario 3",'CBA Inputs'!L$103-'CBA Inputs'!L109,0)+IF(Scenario_Select="Scenario 4",'CBA Inputs'!L$118-'CBA Inputs'!L124,0)),0)*M$55</f>
        <v>8</v>
      </c>
      <c r="N166" s="17">
        <f>IFERROR('Option inputs'!$F20*(IF(Scenario_Select="Scenario 1",'CBA Inputs'!M$73-'CBA Inputs'!M79,0)+IF(Scenario_Select="Scenario 2",'CBA Inputs'!M$88-'CBA Inputs'!M94,0)+IF(Scenario_Select="Scenario 3",'CBA Inputs'!M$103-'CBA Inputs'!M109,0)+IF(Scenario_Select="Scenario 4",'CBA Inputs'!M$118-'CBA Inputs'!M124,0)),0)*N$55</f>
        <v>19731688</v>
      </c>
      <c r="O166" s="17">
        <f>IFERROR('Option inputs'!$F20*(IF(Scenario_Select="Scenario 1",'CBA Inputs'!N$73-'CBA Inputs'!N79,0)+IF(Scenario_Select="Scenario 2",'CBA Inputs'!N$88-'CBA Inputs'!N94,0)+IF(Scenario_Select="Scenario 3",'CBA Inputs'!N$103-'CBA Inputs'!N109,0)+IF(Scenario_Select="Scenario 4",'CBA Inputs'!N$118-'CBA Inputs'!N124,0)),0)*O$55</f>
        <v>11</v>
      </c>
      <c r="P166" s="17">
        <f>IFERROR('Option inputs'!$F20*(IF(Scenario_Select="Scenario 1",'CBA Inputs'!O$73-'CBA Inputs'!O79,0)+IF(Scenario_Select="Scenario 2",'CBA Inputs'!O$88-'CBA Inputs'!O94,0)+IF(Scenario_Select="Scenario 3",'CBA Inputs'!O$103-'CBA Inputs'!O109,0)+IF(Scenario_Select="Scenario 4",'CBA Inputs'!O$118-'CBA Inputs'!O124,0)),0)*P$55</f>
        <v>54821271</v>
      </c>
      <c r="Q166" s="17">
        <f>IFERROR('Option inputs'!$F20*(IF(Scenario_Select="Scenario 1",'CBA Inputs'!P$73-'CBA Inputs'!P79,0)+IF(Scenario_Select="Scenario 2",'CBA Inputs'!P$88-'CBA Inputs'!P94,0)+IF(Scenario_Select="Scenario 3",'CBA Inputs'!P$103-'CBA Inputs'!P109,0)+IF(Scenario_Select="Scenario 4",'CBA Inputs'!P$118-'CBA Inputs'!P124,0)),0)*Q$55</f>
        <v>6185724</v>
      </c>
      <c r="R166" s="17">
        <f>IFERROR('Option inputs'!$F20*(IF(Scenario_Select="Scenario 1",'CBA Inputs'!Q$73-'CBA Inputs'!Q79,0)+IF(Scenario_Select="Scenario 2",'CBA Inputs'!Q$88-'CBA Inputs'!Q94,0)+IF(Scenario_Select="Scenario 3",'CBA Inputs'!Q$103-'CBA Inputs'!Q109,0)+IF(Scenario_Select="Scenario 4",'CBA Inputs'!Q$118-'CBA Inputs'!Q124,0)),0)*R$55</f>
        <v>178479</v>
      </c>
      <c r="S166" s="17">
        <f>IFERROR('Option inputs'!$F20*(IF(Scenario_Select="Scenario 1",'CBA Inputs'!R$73-'CBA Inputs'!R79,0)+IF(Scenario_Select="Scenario 2",'CBA Inputs'!R$88-'CBA Inputs'!R94,0)+IF(Scenario_Select="Scenario 3",'CBA Inputs'!R$103-'CBA Inputs'!R109,0)+IF(Scenario_Select="Scenario 4",'CBA Inputs'!R$118-'CBA Inputs'!R124,0)),0)*S$55</f>
        <v>5112334</v>
      </c>
      <c r="T166" s="17">
        <f>IFERROR('Option inputs'!$F20*(IF(Scenario_Select="Scenario 1",'CBA Inputs'!S$73-'CBA Inputs'!S79,0)+IF(Scenario_Select="Scenario 2",'CBA Inputs'!S$88-'CBA Inputs'!S94,0)+IF(Scenario_Select="Scenario 3",'CBA Inputs'!S$103-'CBA Inputs'!S109,0)+IF(Scenario_Select="Scenario 4",'CBA Inputs'!S$118-'CBA Inputs'!S124,0)),0)*T$55</f>
        <v>-20</v>
      </c>
      <c r="U166" s="17">
        <f>IFERROR('Option inputs'!$F20*(IF(Scenario_Select="Scenario 1",'CBA Inputs'!T$73-'CBA Inputs'!T79,0)+IF(Scenario_Select="Scenario 2",'CBA Inputs'!T$88-'CBA Inputs'!T94,0)+IF(Scenario_Select="Scenario 3",'CBA Inputs'!T$103-'CBA Inputs'!T109,0)+IF(Scenario_Select="Scenario 4",'CBA Inputs'!T$118-'CBA Inputs'!T124,0)),0)*U$55</f>
        <v>6369254</v>
      </c>
      <c r="V166" s="17">
        <f>IFERROR('Option inputs'!$F20*(IF(Scenario_Select="Scenario 1",'CBA Inputs'!U$73-'CBA Inputs'!U79,0)+IF(Scenario_Select="Scenario 2",'CBA Inputs'!U$88-'CBA Inputs'!U94,0)+IF(Scenario_Select="Scenario 3",'CBA Inputs'!U$103-'CBA Inputs'!U109,0)+IF(Scenario_Select="Scenario 4",'CBA Inputs'!U$118-'CBA Inputs'!U124,0)),0)*V$55</f>
        <v>17157464</v>
      </c>
      <c r="W166" s="17">
        <f>IFERROR('Option inputs'!$F20*(IF(Scenario_Select="Scenario 1",'CBA Inputs'!V$73-'CBA Inputs'!V79,0)+IF(Scenario_Select="Scenario 2",'CBA Inputs'!V$88-'CBA Inputs'!V94,0)+IF(Scenario_Select="Scenario 3",'CBA Inputs'!V$103-'CBA Inputs'!V109,0)+IF(Scenario_Select="Scenario 4",'CBA Inputs'!V$118-'CBA Inputs'!V124,0)),0)*W$55</f>
        <v>1318278</v>
      </c>
      <c r="X166" s="17">
        <f>IFERROR('Option inputs'!$F20*(IF(Scenario_Select="Scenario 1",'CBA Inputs'!W$73-'CBA Inputs'!W79,0)+IF(Scenario_Select="Scenario 2",'CBA Inputs'!W$88-'CBA Inputs'!W94,0)+IF(Scenario_Select="Scenario 3",'CBA Inputs'!W$103-'CBA Inputs'!W109,0)+IF(Scenario_Select="Scenario 4",'CBA Inputs'!W$118-'CBA Inputs'!W124,0)),0)*X$55</f>
        <v>-25</v>
      </c>
      <c r="Y166" s="17">
        <f>IFERROR('Option inputs'!$F20*(IF(Scenario_Select="Scenario 1",'CBA Inputs'!X$73-'CBA Inputs'!X79,0)+IF(Scenario_Select="Scenario 2",'CBA Inputs'!X$88-'CBA Inputs'!X94,0)+IF(Scenario_Select="Scenario 3",'CBA Inputs'!X$103-'CBA Inputs'!X109,0)+IF(Scenario_Select="Scenario 4",'CBA Inputs'!X$118-'CBA Inputs'!X124,0)),0)*Y$55</f>
        <v>2893428</v>
      </c>
      <c r="Z166" s="17">
        <f>IFERROR('Option inputs'!$F20*(IF(Scenario_Select="Scenario 1",'CBA Inputs'!Y$73-'CBA Inputs'!Y79,0)+IF(Scenario_Select="Scenario 2",'CBA Inputs'!Y$88-'CBA Inputs'!Y94,0)+IF(Scenario_Select="Scenario 3",'CBA Inputs'!Y$103-'CBA Inputs'!Y109,0)+IF(Scenario_Select="Scenario 4",'CBA Inputs'!Y$118-'CBA Inputs'!Y124,0)),0)*Z$55</f>
        <v>-43</v>
      </c>
      <c r="AA166" s="17">
        <f>IFERROR('Option inputs'!$F20*(IF(Scenario_Select="Scenario 1",'CBA Inputs'!Z$73-'CBA Inputs'!Z79,0)+IF(Scenario_Select="Scenario 2",'CBA Inputs'!Z$88-'CBA Inputs'!Z94,0)+IF(Scenario_Select="Scenario 3",'CBA Inputs'!Z$103-'CBA Inputs'!Z109,0)+IF(Scenario_Select="Scenario 4",'CBA Inputs'!Z$118-'CBA Inputs'!Z124,0)),0)*AA$55</f>
        <v>-50</v>
      </c>
      <c r="AB166" s="17">
        <f>IFERROR('Option inputs'!$F20*(IF(Scenario_Select="Scenario 1",'CBA Inputs'!AA$73-'CBA Inputs'!AA79,0)+IF(Scenario_Select="Scenario 2",'CBA Inputs'!AA$88-'CBA Inputs'!AA94,0)+IF(Scenario_Select="Scenario 3",'CBA Inputs'!AA$103-'CBA Inputs'!AA109,0)+IF(Scenario_Select="Scenario 4",'CBA Inputs'!AA$118-'CBA Inputs'!AA124,0)),0)*AB$55</f>
        <v>-54</v>
      </c>
      <c r="AC166" s="17">
        <f>IFERROR('Option inputs'!$F20*(IF(Scenario_Select="Scenario 1",'CBA Inputs'!AB$73-'CBA Inputs'!AB79,0)+IF(Scenario_Select="Scenario 2",'CBA Inputs'!AB$88-'CBA Inputs'!AB94,0)+IF(Scenario_Select="Scenario 3",'CBA Inputs'!AB$103-'CBA Inputs'!AB109,0)+IF(Scenario_Select="Scenario 4",'CBA Inputs'!AB$118-'CBA Inputs'!AB124,0)),0)*AC$55</f>
        <v>-64</v>
      </c>
      <c r="AD166" s="17">
        <f>IFERROR('Option inputs'!$F20*(IF(Scenario_Select="Scenario 1",'CBA Inputs'!AC$73-'CBA Inputs'!AC79,0)+IF(Scenario_Select="Scenario 2",'CBA Inputs'!AC$88-'CBA Inputs'!AC94,0)+IF(Scenario_Select="Scenario 3",'CBA Inputs'!AC$103-'CBA Inputs'!AC109,0)+IF(Scenario_Select="Scenario 4",'CBA Inputs'!AC$118-'CBA Inputs'!AC124,0)),0)*AD$55</f>
        <v>-101135</v>
      </c>
      <c r="AE166" s="17">
        <f>IFERROR('Option inputs'!$F20*(IF(Scenario_Select="Scenario 1",'CBA Inputs'!AD$73-'CBA Inputs'!AD79,0)+IF(Scenario_Select="Scenario 2",'CBA Inputs'!AD$88-'CBA Inputs'!AD94,0)+IF(Scenario_Select="Scenario 3",'CBA Inputs'!AD$103-'CBA Inputs'!AD109,0)+IF(Scenario_Select="Scenario 4",'CBA Inputs'!AD$118-'CBA Inputs'!AD124,0)),0)*AE$55</f>
        <v>5527651</v>
      </c>
      <c r="AF166" s="17">
        <f>IFERROR('Option inputs'!$F20*(IF(Scenario_Select="Scenario 1",'CBA Inputs'!AE$73-'CBA Inputs'!AE79,0)+IF(Scenario_Select="Scenario 2",'CBA Inputs'!AE$88-'CBA Inputs'!AE94,0)+IF(Scenario_Select="Scenario 3",'CBA Inputs'!AE$103-'CBA Inputs'!AE109,0)+IF(Scenario_Select="Scenario 4",'CBA Inputs'!AE$118-'CBA Inputs'!AE124,0)),0)*AF$55</f>
        <v>-69</v>
      </c>
      <c r="AG166" s="17">
        <f>IFERROR('Option inputs'!$F20*(IF(Scenario_Select="Scenario 1",'CBA Inputs'!AF$73-'CBA Inputs'!AF79,0)+IF(Scenario_Select="Scenario 2",'CBA Inputs'!AF$88-'CBA Inputs'!AF94,0)+IF(Scenario_Select="Scenario 3",'CBA Inputs'!AF$103-'CBA Inputs'!AF109,0)+IF(Scenario_Select="Scenario 4",'CBA Inputs'!AF$118-'CBA Inputs'!AF124,0)),0)*AG$55</f>
        <v>0</v>
      </c>
      <c r="AH166" s="17">
        <f>IFERROR('Option inputs'!$F20*(IF(Scenario_Select="Scenario 1",'CBA Inputs'!AG$73-'CBA Inputs'!AG79,0)+IF(Scenario_Select="Scenario 2",'CBA Inputs'!AG$88-'CBA Inputs'!AG94,0)+IF(Scenario_Select="Scenario 3",'CBA Inputs'!AG$103-'CBA Inputs'!AG109,0)+IF(Scenario_Select="Scenario 4",'CBA Inputs'!AG$118-'CBA Inputs'!AG124,0)),0)*AH$55</f>
        <v>0</v>
      </c>
      <c r="AI166" s="17">
        <f>IFERROR('Option inputs'!$F20*(IF(Scenario_Select="Scenario 1",'CBA Inputs'!AH$73-'CBA Inputs'!AH79,0)+IF(Scenario_Select="Scenario 2",'CBA Inputs'!AH$88-'CBA Inputs'!AH94,0)+IF(Scenario_Select="Scenario 3",'CBA Inputs'!AH$103-'CBA Inputs'!AH109,0)+IF(Scenario_Select="Scenario 4",'CBA Inputs'!AH$118-'CBA Inputs'!AH124,0)),0)*AI$55</f>
        <v>0</v>
      </c>
      <c r="AJ166" s="17">
        <f>IFERROR('Option inputs'!$F20*(IF(Scenario_Select="Scenario 1",'CBA Inputs'!AI$73-'CBA Inputs'!AI79,0)+IF(Scenario_Select="Scenario 2",'CBA Inputs'!AI$88-'CBA Inputs'!AI94,0)+IF(Scenario_Select="Scenario 3",'CBA Inputs'!AI$103-'CBA Inputs'!AI109,0)+IF(Scenario_Select="Scenario 4",'CBA Inputs'!AI$118-'CBA Inputs'!AI124,0)),0)*AJ$55</f>
        <v>0</v>
      </c>
    </row>
    <row r="167" spans="2:36" x14ac:dyDescent="0.35">
      <c r="B167" s="9">
        <f>'Option inputs'!B21</f>
        <v>7</v>
      </c>
      <c r="C167" s="26" t="str">
        <f>'Option inputs'!C21</f>
        <v>Option 3A</v>
      </c>
      <c r="D167" s="26"/>
      <c r="E167" s="12" t="s">
        <v>35</v>
      </c>
      <c r="F167" s="18">
        <f t="shared" si="43"/>
        <v>60032699.769895032</v>
      </c>
      <c r="G167" s="17">
        <f>IFERROR('Option inputs'!$F21*(IF(Scenario_Select="Scenario 1",'CBA Inputs'!F$73-'CBA Inputs'!F80,0)+IF(Scenario_Select="Scenario 2",'CBA Inputs'!F$88-'CBA Inputs'!F95,0)+IF(Scenario_Select="Scenario 3",'CBA Inputs'!F$103-'CBA Inputs'!F110,0)+IF(Scenario_Select="Scenario 4",'CBA Inputs'!F$118-'CBA Inputs'!F125,0)),0)*G$55</f>
        <v>0</v>
      </c>
      <c r="H167" s="17">
        <f>IFERROR('Option inputs'!$F21*(IF(Scenario_Select="Scenario 1",'CBA Inputs'!G$73-'CBA Inputs'!G80,0)+IF(Scenario_Select="Scenario 2",'CBA Inputs'!G$88-'CBA Inputs'!G95,0)+IF(Scenario_Select="Scenario 3",'CBA Inputs'!G$103-'CBA Inputs'!G110,0)+IF(Scenario_Select="Scenario 4",'CBA Inputs'!G$118-'CBA Inputs'!G125,0)),0)*H$55</f>
        <v>-81</v>
      </c>
      <c r="I167" s="17">
        <f>IFERROR('Option inputs'!$F21*(IF(Scenario_Select="Scenario 1",'CBA Inputs'!H$73-'CBA Inputs'!H80,0)+IF(Scenario_Select="Scenario 2",'CBA Inputs'!H$88-'CBA Inputs'!H95,0)+IF(Scenario_Select="Scenario 3",'CBA Inputs'!H$103-'CBA Inputs'!H110,0)+IF(Scenario_Select="Scenario 4",'CBA Inputs'!H$118-'CBA Inputs'!H125,0)),0)*I$55</f>
        <v>-41</v>
      </c>
      <c r="J167" s="17">
        <f>IFERROR('Option inputs'!$F21*(IF(Scenario_Select="Scenario 1",'CBA Inputs'!I$73-'CBA Inputs'!I80,0)+IF(Scenario_Select="Scenario 2",'CBA Inputs'!I$88-'CBA Inputs'!I95,0)+IF(Scenario_Select="Scenario 3",'CBA Inputs'!I$103-'CBA Inputs'!I110,0)+IF(Scenario_Select="Scenario 4",'CBA Inputs'!I$118-'CBA Inputs'!I125,0)),0)*J$55</f>
        <v>-107</v>
      </c>
      <c r="K167" s="17">
        <f>IFERROR('Option inputs'!$F21*(IF(Scenario_Select="Scenario 1",'CBA Inputs'!J$73-'CBA Inputs'!J80,0)+IF(Scenario_Select="Scenario 2",'CBA Inputs'!J$88-'CBA Inputs'!J95,0)+IF(Scenario_Select="Scenario 3",'CBA Inputs'!J$103-'CBA Inputs'!J110,0)+IF(Scenario_Select="Scenario 4",'CBA Inputs'!J$118-'CBA Inputs'!J125,0)),0)*K$55</f>
        <v>-20709691</v>
      </c>
      <c r="L167" s="17">
        <f>IFERROR('Option inputs'!$F21*(IF(Scenario_Select="Scenario 1",'CBA Inputs'!K$73-'CBA Inputs'!K80,0)+IF(Scenario_Select="Scenario 2",'CBA Inputs'!K$88-'CBA Inputs'!K95,0)+IF(Scenario_Select="Scenario 3",'CBA Inputs'!K$103-'CBA Inputs'!K110,0)+IF(Scenario_Select="Scenario 4",'CBA Inputs'!K$118-'CBA Inputs'!K125,0)),0)*L$55</f>
        <v>67693249</v>
      </c>
      <c r="M167" s="17">
        <f>IFERROR('Option inputs'!$F21*(IF(Scenario_Select="Scenario 1",'CBA Inputs'!L$73-'CBA Inputs'!L80,0)+IF(Scenario_Select="Scenario 2",'CBA Inputs'!L$88-'CBA Inputs'!L95,0)+IF(Scenario_Select="Scenario 3",'CBA Inputs'!L$103-'CBA Inputs'!L110,0)+IF(Scenario_Select="Scenario 4",'CBA Inputs'!L$118-'CBA Inputs'!L125,0)),0)*M$55</f>
        <v>-40</v>
      </c>
      <c r="N167" s="17">
        <f>IFERROR('Option inputs'!$F21*(IF(Scenario_Select="Scenario 1",'CBA Inputs'!M$73-'CBA Inputs'!M80,0)+IF(Scenario_Select="Scenario 2",'CBA Inputs'!M$88-'CBA Inputs'!M95,0)+IF(Scenario_Select="Scenario 3",'CBA Inputs'!M$103-'CBA Inputs'!M110,0)+IF(Scenario_Select="Scenario 4",'CBA Inputs'!M$118-'CBA Inputs'!M125,0)),0)*N$55</f>
        <v>19731649</v>
      </c>
      <c r="O167" s="17">
        <f>IFERROR('Option inputs'!$F21*(IF(Scenario_Select="Scenario 1",'CBA Inputs'!N$73-'CBA Inputs'!N80,0)+IF(Scenario_Select="Scenario 2",'CBA Inputs'!N$88-'CBA Inputs'!N95,0)+IF(Scenario_Select="Scenario 3",'CBA Inputs'!N$103-'CBA Inputs'!N110,0)+IF(Scenario_Select="Scenario 4",'CBA Inputs'!N$118-'CBA Inputs'!N125,0)),0)*O$55</f>
        <v>-41</v>
      </c>
      <c r="P167" s="17">
        <f>IFERROR('Option inputs'!$F21*(IF(Scenario_Select="Scenario 1",'CBA Inputs'!O$73-'CBA Inputs'!O80,0)+IF(Scenario_Select="Scenario 2",'CBA Inputs'!O$88-'CBA Inputs'!O95,0)+IF(Scenario_Select="Scenario 3",'CBA Inputs'!O$103-'CBA Inputs'!O110,0)+IF(Scenario_Select="Scenario 4",'CBA Inputs'!O$118-'CBA Inputs'!O125,0)),0)*P$55</f>
        <v>20894357</v>
      </c>
      <c r="Q167" s="17">
        <f>IFERROR('Option inputs'!$F21*(IF(Scenario_Select="Scenario 1",'CBA Inputs'!P$73-'CBA Inputs'!P80,0)+IF(Scenario_Select="Scenario 2",'CBA Inputs'!P$88-'CBA Inputs'!P95,0)+IF(Scenario_Select="Scenario 3",'CBA Inputs'!P$103-'CBA Inputs'!P110,0)+IF(Scenario_Select="Scenario 4",'CBA Inputs'!P$118-'CBA Inputs'!P125,0)),0)*Q$55</f>
        <v>1795270</v>
      </c>
      <c r="R167" s="17">
        <f>IFERROR('Option inputs'!$F21*(IF(Scenario_Select="Scenario 1",'CBA Inputs'!Q$73-'CBA Inputs'!Q80,0)+IF(Scenario_Select="Scenario 2",'CBA Inputs'!Q$88-'CBA Inputs'!Q95,0)+IF(Scenario_Select="Scenario 3",'CBA Inputs'!Q$103-'CBA Inputs'!Q110,0)+IF(Scenario_Select="Scenario 4",'CBA Inputs'!Q$118-'CBA Inputs'!Q125,0)),0)*R$55</f>
        <v>178449</v>
      </c>
      <c r="S167" s="17">
        <f>IFERROR('Option inputs'!$F21*(IF(Scenario_Select="Scenario 1",'CBA Inputs'!R$73-'CBA Inputs'!R80,0)+IF(Scenario_Select="Scenario 2",'CBA Inputs'!R$88-'CBA Inputs'!R95,0)+IF(Scenario_Select="Scenario 3",'CBA Inputs'!R$103-'CBA Inputs'!R110,0)+IF(Scenario_Select="Scenario 4",'CBA Inputs'!R$118-'CBA Inputs'!R125,0)),0)*S$55</f>
        <v>673385</v>
      </c>
      <c r="T167" s="17">
        <f>IFERROR('Option inputs'!$F21*(IF(Scenario_Select="Scenario 1",'CBA Inputs'!S$73-'CBA Inputs'!S80,0)+IF(Scenario_Select="Scenario 2",'CBA Inputs'!S$88-'CBA Inputs'!S95,0)+IF(Scenario_Select="Scenario 3",'CBA Inputs'!S$103-'CBA Inputs'!S110,0)+IF(Scenario_Select="Scenario 4",'CBA Inputs'!S$118-'CBA Inputs'!S125,0)),0)*T$55</f>
        <v>-43</v>
      </c>
      <c r="U167" s="17">
        <f>IFERROR('Option inputs'!$F21*(IF(Scenario_Select="Scenario 1",'CBA Inputs'!T$73-'CBA Inputs'!T80,0)+IF(Scenario_Select="Scenario 2",'CBA Inputs'!T$88-'CBA Inputs'!T95,0)+IF(Scenario_Select="Scenario 3",'CBA Inputs'!T$103-'CBA Inputs'!T110,0)+IF(Scenario_Select="Scenario 4",'CBA Inputs'!T$118-'CBA Inputs'!T125,0)),0)*U$55</f>
        <v>-958460</v>
      </c>
      <c r="V167" s="17">
        <f>IFERROR('Option inputs'!$F21*(IF(Scenario_Select="Scenario 1",'CBA Inputs'!U$73-'CBA Inputs'!U80,0)+IF(Scenario_Select="Scenario 2",'CBA Inputs'!U$88-'CBA Inputs'!U95,0)+IF(Scenario_Select="Scenario 3",'CBA Inputs'!U$103-'CBA Inputs'!U110,0)+IF(Scenario_Select="Scenario 4",'CBA Inputs'!U$118-'CBA Inputs'!U125,0)),0)*V$55</f>
        <v>8551820</v>
      </c>
      <c r="W167" s="17">
        <f>IFERROR('Option inputs'!$F21*(IF(Scenario_Select="Scenario 1",'CBA Inputs'!V$73-'CBA Inputs'!V80,0)+IF(Scenario_Select="Scenario 2",'CBA Inputs'!V$88-'CBA Inputs'!V95,0)+IF(Scenario_Select="Scenario 3",'CBA Inputs'!V$103-'CBA Inputs'!V110,0)+IF(Scenario_Select="Scenario 4",'CBA Inputs'!V$118-'CBA Inputs'!V125,0)),0)*W$55</f>
        <v>-1996084</v>
      </c>
      <c r="X167" s="17">
        <f>IFERROR('Option inputs'!$F21*(IF(Scenario_Select="Scenario 1",'CBA Inputs'!W$73-'CBA Inputs'!W80,0)+IF(Scenario_Select="Scenario 2",'CBA Inputs'!W$88-'CBA Inputs'!W95,0)+IF(Scenario_Select="Scenario 3",'CBA Inputs'!W$103-'CBA Inputs'!W110,0)+IF(Scenario_Select="Scenario 4",'CBA Inputs'!W$118-'CBA Inputs'!W125,0)),0)*X$55</f>
        <v>-33</v>
      </c>
      <c r="Y167" s="17">
        <f>IFERROR('Option inputs'!$F21*(IF(Scenario_Select="Scenario 1",'CBA Inputs'!X$73-'CBA Inputs'!X80,0)+IF(Scenario_Select="Scenario 2",'CBA Inputs'!X$88-'CBA Inputs'!X95,0)+IF(Scenario_Select="Scenario 3",'CBA Inputs'!X$103-'CBA Inputs'!X110,0)+IF(Scenario_Select="Scenario 4",'CBA Inputs'!X$118-'CBA Inputs'!X125,0)),0)*Y$55</f>
        <v>-10710826</v>
      </c>
      <c r="Z167" s="17">
        <f>IFERROR('Option inputs'!$F21*(IF(Scenario_Select="Scenario 1",'CBA Inputs'!Y$73-'CBA Inputs'!Y80,0)+IF(Scenario_Select="Scenario 2",'CBA Inputs'!Y$88-'CBA Inputs'!Y95,0)+IF(Scenario_Select="Scenario 3",'CBA Inputs'!Y$103-'CBA Inputs'!Y110,0)+IF(Scenario_Select="Scenario 4",'CBA Inputs'!Y$118-'CBA Inputs'!Y125,0)),0)*Z$55</f>
        <v>-37</v>
      </c>
      <c r="AA167" s="17">
        <f>IFERROR('Option inputs'!$F21*(IF(Scenario_Select="Scenario 1",'CBA Inputs'!Z$73-'CBA Inputs'!Z80,0)+IF(Scenario_Select="Scenario 2",'CBA Inputs'!Z$88-'CBA Inputs'!Z95,0)+IF(Scenario_Select="Scenario 3",'CBA Inputs'!Z$103-'CBA Inputs'!Z110,0)+IF(Scenario_Select="Scenario 4",'CBA Inputs'!Z$118-'CBA Inputs'!Z125,0)),0)*AA$55</f>
        <v>-33</v>
      </c>
      <c r="AB167" s="17">
        <f>IFERROR('Option inputs'!$F21*(IF(Scenario_Select="Scenario 1",'CBA Inputs'!AA$73-'CBA Inputs'!AA80,0)+IF(Scenario_Select="Scenario 2",'CBA Inputs'!AA$88-'CBA Inputs'!AA95,0)+IF(Scenario_Select="Scenario 3",'CBA Inputs'!AA$103-'CBA Inputs'!AA110,0)+IF(Scenario_Select="Scenario 4",'CBA Inputs'!AA$118-'CBA Inputs'!AA125,0)),0)*AB$55</f>
        <v>-36</v>
      </c>
      <c r="AC167" s="17">
        <f>IFERROR('Option inputs'!$F21*(IF(Scenario_Select="Scenario 1",'CBA Inputs'!AB$73-'CBA Inputs'!AB80,0)+IF(Scenario_Select="Scenario 2",'CBA Inputs'!AB$88-'CBA Inputs'!AB95,0)+IF(Scenario_Select="Scenario 3",'CBA Inputs'!AB$103-'CBA Inputs'!AB110,0)+IF(Scenario_Select="Scenario 4",'CBA Inputs'!AB$118-'CBA Inputs'!AB125,0)),0)*AC$55</f>
        <v>-26</v>
      </c>
      <c r="AD167" s="17">
        <f>IFERROR('Option inputs'!$F21*(IF(Scenario_Select="Scenario 1",'CBA Inputs'!AC$73-'CBA Inputs'!AC80,0)+IF(Scenario_Select="Scenario 2",'CBA Inputs'!AC$88-'CBA Inputs'!AC95,0)+IF(Scenario_Select="Scenario 3",'CBA Inputs'!AC$103-'CBA Inputs'!AC110,0)+IF(Scenario_Select="Scenario 4",'CBA Inputs'!AC$118-'CBA Inputs'!AC125,0)),0)*AD$55</f>
        <v>-3659144</v>
      </c>
      <c r="AE167" s="17">
        <f>IFERROR('Option inputs'!$F21*(IF(Scenario_Select="Scenario 1",'CBA Inputs'!AD$73-'CBA Inputs'!AD80,0)+IF(Scenario_Select="Scenario 2",'CBA Inputs'!AD$88-'CBA Inputs'!AD95,0)+IF(Scenario_Select="Scenario 3",'CBA Inputs'!AD$103-'CBA Inputs'!AD110,0)+IF(Scenario_Select="Scenario 4",'CBA Inputs'!AD$118-'CBA Inputs'!AD125,0)),0)*AE$55</f>
        <v>3765555</v>
      </c>
      <c r="AF167" s="17">
        <f>IFERROR('Option inputs'!$F21*(IF(Scenario_Select="Scenario 1",'CBA Inputs'!AE$73-'CBA Inputs'!AE80,0)+IF(Scenario_Select="Scenario 2",'CBA Inputs'!AE$88-'CBA Inputs'!AE95,0)+IF(Scenario_Select="Scenario 3",'CBA Inputs'!AE$103-'CBA Inputs'!AE110,0)+IF(Scenario_Select="Scenario 4",'CBA Inputs'!AE$118-'CBA Inputs'!AE125,0)),0)*AF$55</f>
        <v>-13</v>
      </c>
      <c r="AG167" s="17">
        <f>IFERROR('Option inputs'!$F21*(IF(Scenario_Select="Scenario 1",'CBA Inputs'!AF$73-'CBA Inputs'!AF80,0)+IF(Scenario_Select="Scenario 2",'CBA Inputs'!AF$88-'CBA Inputs'!AF95,0)+IF(Scenario_Select="Scenario 3",'CBA Inputs'!AF$103-'CBA Inputs'!AF110,0)+IF(Scenario_Select="Scenario 4",'CBA Inputs'!AF$118-'CBA Inputs'!AF125,0)),0)*AG$55</f>
        <v>0</v>
      </c>
      <c r="AH167" s="17">
        <f>IFERROR('Option inputs'!$F21*(IF(Scenario_Select="Scenario 1",'CBA Inputs'!AG$73-'CBA Inputs'!AG80,0)+IF(Scenario_Select="Scenario 2",'CBA Inputs'!AG$88-'CBA Inputs'!AG95,0)+IF(Scenario_Select="Scenario 3",'CBA Inputs'!AG$103-'CBA Inputs'!AG110,0)+IF(Scenario_Select="Scenario 4",'CBA Inputs'!AG$118-'CBA Inputs'!AG125,0)),0)*AH$55</f>
        <v>0</v>
      </c>
      <c r="AI167" s="17">
        <f>IFERROR('Option inputs'!$F21*(IF(Scenario_Select="Scenario 1",'CBA Inputs'!AH$73-'CBA Inputs'!AH80,0)+IF(Scenario_Select="Scenario 2",'CBA Inputs'!AH$88-'CBA Inputs'!AH95,0)+IF(Scenario_Select="Scenario 3",'CBA Inputs'!AH$103-'CBA Inputs'!AH110,0)+IF(Scenario_Select="Scenario 4",'CBA Inputs'!AH$118-'CBA Inputs'!AH125,0)),0)*AI$55</f>
        <v>0</v>
      </c>
      <c r="AJ167" s="17">
        <f>IFERROR('Option inputs'!$F21*(IF(Scenario_Select="Scenario 1",'CBA Inputs'!AI$73-'CBA Inputs'!AI80,0)+IF(Scenario_Select="Scenario 2",'CBA Inputs'!AI$88-'CBA Inputs'!AI95,0)+IF(Scenario_Select="Scenario 3",'CBA Inputs'!AI$103-'CBA Inputs'!AI110,0)+IF(Scenario_Select="Scenario 4",'CBA Inputs'!AI$118-'CBA Inputs'!AI125,0)),0)*AJ$55</f>
        <v>0</v>
      </c>
    </row>
    <row r="168" spans="2:36" x14ac:dyDescent="0.35">
      <c r="B168" s="9">
        <f>'Option inputs'!B22</f>
        <v>8</v>
      </c>
      <c r="C168" s="26" t="str">
        <f>'Option inputs'!C22</f>
        <v>Option 3B</v>
      </c>
      <c r="D168" s="26"/>
      <c r="E168" s="12" t="s">
        <v>35</v>
      </c>
      <c r="F168" s="18">
        <f t="shared" si="43"/>
        <v>92398649.167288929</v>
      </c>
      <c r="G168" s="17">
        <f>IFERROR('Option inputs'!$F22*(IF(Scenario_Select="Scenario 1",'CBA Inputs'!F$73-'CBA Inputs'!F81,0)+IF(Scenario_Select="Scenario 2",'CBA Inputs'!F$88-'CBA Inputs'!F96,0)+IF(Scenario_Select="Scenario 3",'CBA Inputs'!F$103-'CBA Inputs'!F111,0)+IF(Scenario_Select="Scenario 4",'CBA Inputs'!F$118-'CBA Inputs'!F126,0)),0)*G$55</f>
        <v>0</v>
      </c>
      <c r="H168" s="17">
        <f>IFERROR('Option inputs'!$F22*(IF(Scenario_Select="Scenario 1",'CBA Inputs'!G$73-'CBA Inputs'!G81,0)+IF(Scenario_Select="Scenario 2",'CBA Inputs'!G$88-'CBA Inputs'!G96,0)+IF(Scenario_Select="Scenario 3",'CBA Inputs'!G$103-'CBA Inputs'!G111,0)+IF(Scenario_Select="Scenario 4",'CBA Inputs'!G$118-'CBA Inputs'!G126,0)),0)*H$55</f>
        <v>5</v>
      </c>
      <c r="I168" s="17">
        <f>IFERROR('Option inputs'!$F22*(IF(Scenario_Select="Scenario 1",'CBA Inputs'!H$73-'CBA Inputs'!H81,0)+IF(Scenario_Select="Scenario 2",'CBA Inputs'!H$88-'CBA Inputs'!H96,0)+IF(Scenario_Select="Scenario 3",'CBA Inputs'!H$103-'CBA Inputs'!H111,0)+IF(Scenario_Select="Scenario 4",'CBA Inputs'!H$118-'CBA Inputs'!H126,0)),0)*I$55</f>
        <v>79</v>
      </c>
      <c r="J168" s="17">
        <f>IFERROR('Option inputs'!$F22*(IF(Scenario_Select="Scenario 1",'CBA Inputs'!I$73-'CBA Inputs'!I81,0)+IF(Scenario_Select="Scenario 2",'CBA Inputs'!I$88-'CBA Inputs'!I96,0)+IF(Scenario_Select="Scenario 3",'CBA Inputs'!I$103-'CBA Inputs'!I111,0)+IF(Scenario_Select="Scenario 4",'CBA Inputs'!I$118-'CBA Inputs'!I126,0)),0)*J$55</f>
        <v>24</v>
      </c>
      <c r="K168" s="17">
        <f>IFERROR('Option inputs'!$F22*(IF(Scenario_Select="Scenario 1",'CBA Inputs'!J$73-'CBA Inputs'!J81,0)+IF(Scenario_Select="Scenario 2",'CBA Inputs'!J$88-'CBA Inputs'!J96,0)+IF(Scenario_Select="Scenario 3",'CBA Inputs'!J$103-'CBA Inputs'!J111,0)+IF(Scenario_Select="Scenario 4",'CBA Inputs'!J$118-'CBA Inputs'!J126,0)),0)*K$55</f>
        <v>-21234069</v>
      </c>
      <c r="L168" s="17">
        <f>IFERROR('Option inputs'!$F22*(IF(Scenario_Select="Scenario 1",'CBA Inputs'!K$73-'CBA Inputs'!K81,0)+IF(Scenario_Select="Scenario 2",'CBA Inputs'!K$88-'CBA Inputs'!K96,0)+IF(Scenario_Select="Scenario 3",'CBA Inputs'!K$103-'CBA Inputs'!K111,0)+IF(Scenario_Select="Scenario 4",'CBA Inputs'!K$118-'CBA Inputs'!K126,0)),0)*L$55</f>
        <v>81571249</v>
      </c>
      <c r="M168" s="17">
        <f>IFERROR('Option inputs'!$F22*(IF(Scenario_Select="Scenario 1",'CBA Inputs'!L$73-'CBA Inputs'!L81,0)+IF(Scenario_Select="Scenario 2",'CBA Inputs'!L$88-'CBA Inputs'!L96,0)+IF(Scenario_Select="Scenario 3",'CBA Inputs'!L$103-'CBA Inputs'!L111,0)+IF(Scenario_Select="Scenario 4",'CBA Inputs'!L$118-'CBA Inputs'!L126,0)),0)*M$55</f>
        <v>96</v>
      </c>
      <c r="N168" s="17">
        <f>IFERROR('Option inputs'!$F22*(IF(Scenario_Select="Scenario 1",'CBA Inputs'!M$73-'CBA Inputs'!M81,0)+IF(Scenario_Select="Scenario 2",'CBA Inputs'!M$88-'CBA Inputs'!M96,0)+IF(Scenario_Select="Scenario 3",'CBA Inputs'!M$103-'CBA Inputs'!M111,0)+IF(Scenario_Select="Scenario 4",'CBA Inputs'!M$118-'CBA Inputs'!M126,0)),0)*N$55</f>
        <v>19731789</v>
      </c>
      <c r="O168" s="17">
        <f>IFERROR('Option inputs'!$F22*(IF(Scenario_Select="Scenario 1",'CBA Inputs'!N$73-'CBA Inputs'!N81,0)+IF(Scenario_Select="Scenario 2",'CBA Inputs'!N$88-'CBA Inputs'!N96,0)+IF(Scenario_Select="Scenario 3",'CBA Inputs'!N$103-'CBA Inputs'!N111,0)+IF(Scenario_Select="Scenario 4",'CBA Inputs'!N$118-'CBA Inputs'!N126,0)),0)*O$55</f>
        <v>120</v>
      </c>
      <c r="P168" s="17">
        <f>IFERROR('Option inputs'!$F22*(IF(Scenario_Select="Scenario 1",'CBA Inputs'!O$73-'CBA Inputs'!O81,0)+IF(Scenario_Select="Scenario 2",'CBA Inputs'!O$88-'CBA Inputs'!O96,0)+IF(Scenario_Select="Scenario 3",'CBA Inputs'!O$103-'CBA Inputs'!O111,0)+IF(Scenario_Select="Scenario 4",'CBA Inputs'!O$118-'CBA Inputs'!O126,0)),0)*P$55</f>
        <v>26398500</v>
      </c>
      <c r="Q168" s="17">
        <f>IFERROR('Option inputs'!$F22*(IF(Scenario_Select="Scenario 1",'CBA Inputs'!P$73-'CBA Inputs'!P81,0)+IF(Scenario_Select="Scenario 2",'CBA Inputs'!P$88-'CBA Inputs'!P96,0)+IF(Scenario_Select="Scenario 3",'CBA Inputs'!P$103-'CBA Inputs'!P111,0)+IF(Scenario_Select="Scenario 4",'CBA Inputs'!P$118-'CBA Inputs'!P126,0)),0)*Q$55</f>
        <v>6185841</v>
      </c>
      <c r="R168" s="17">
        <f>IFERROR('Option inputs'!$F22*(IF(Scenario_Select="Scenario 1",'CBA Inputs'!Q$73-'CBA Inputs'!Q81,0)+IF(Scenario_Select="Scenario 2",'CBA Inputs'!Q$88-'CBA Inputs'!Q96,0)+IF(Scenario_Select="Scenario 3",'CBA Inputs'!Q$103-'CBA Inputs'!Q111,0)+IF(Scenario_Select="Scenario 4",'CBA Inputs'!Q$118-'CBA Inputs'!Q126,0)),0)*R$55</f>
        <v>178603</v>
      </c>
      <c r="S168" s="17">
        <f>IFERROR('Option inputs'!$F22*(IF(Scenario_Select="Scenario 1",'CBA Inputs'!R$73-'CBA Inputs'!R81,0)+IF(Scenario_Select="Scenario 2",'CBA Inputs'!R$88-'CBA Inputs'!R96,0)+IF(Scenario_Select="Scenario 3",'CBA Inputs'!R$103-'CBA Inputs'!R111,0)+IF(Scenario_Select="Scenario 4",'CBA Inputs'!R$118-'CBA Inputs'!R126,0)),0)*S$55</f>
        <v>5089792</v>
      </c>
      <c r="T168" s="17">
        <f>IFERROR('Option inputs'!$F22*(IF(Scenario_Select="Scenario 1",'CBA Inputs'!S$73-'CBA Inputs'!S81,0)+IF(Scenario_Select="Scenario 2",'CBA Inputs'!S$88-'CBA Inputs'!S96,0)+IF(Scenario_Select="Scenario 3",'CBA Inputs'!S$103-'CBA Inputs'!S111,0)+IF(Scenario_Select="Scenario 4",'CBA Inputs'!S$118-'CBA Inputs'!S126,0)),0)*T$55</f>
        <v>115</v>
      </c>
      <c r="U168" s="17">
        <f>IFERROR('Option inputs'!$F22*(IF(Scenario_Select="Scenario 1",'CBA Inputs'!T$73-'CBA Inputs'!T81,0)+IF(Scenario_Select="Scenario 2",'CBA Inputs'!T$88-'CBA Inputs'!T96,0)+IF(Scenario_Select="Scenario 3",'CBA Inputs'!T$103-'CBA Inputs'!T111,0)+IF(Scenario_Select="Scenario 4",'CBA Inputs'!T$118-'CBA Inputs'!T126,0)),0)*U$55</f>
        <v>6369398</v>
      </c>
      <c r="V168" s="17">
        <f>IFERROR('Option inputs'!$F22*(IF(Scenario_Select="Scenario 1",'CBA Inputs'!U$73-'CBA Inputs'!U81,0)+IF(Scenario_Select="Scenario 2",'CBA Inputs'!U$88-'CBA Inputs'!U96,0)+IF(Scenario_Select="Scenario 3",'CBA Inputs'!U$103-'CBA Inputs'!U111,0)+IF(Scenario_Select="Scenario 4",'CBA Inputs'!U$118-'CBA Inputs'!U126,0)),0)*V$55</f>
        <v>16884230</v>
      </c>
      <c r="W168" s="17">
        <f>IFERROR('Option inputs'!$F22*(IF(Scenario_Select="Scenario 1",'CBA Inputs'!V$73-'CBA Inputs'!V81,0)+IF(Scenario_Select="Scenario 2",'CBA Inputs'!V$88-'CBA Inputs'!V96,0)+IF(Scenario_Select="Scenario 3",'CBA Inputs'!V$103-'CBA Inputs'!V111,0)+IF(Scenario_Select="Scenario 4",'CBA Inputs'!V$118-'CBA Inputs'!V126,0)),0)*W$55</f>
        <v>1318442</v>
      </c>
      <c r="X168" s="17">
        <f>IFERROR('Option inputs'!$F22*(IF(Scenario_Select="Scenario 1",'CBA Inputs'!W$73-'CBA Inputs'!W81,0)+IF(Scenario_Select="Scenario 2",'CBA Inputs'!W$88-'CBA Inputs'!W96,0)+IF(Scenario_Select="Scenario 3",'CBA Inputs'!W$103-'CBA Inputs'!W111,0)+IF(Scenario_Select="Scenario 4",'CBA Inputs'!W$118-'CBA Inputs'!W126,0)),0)*X$55</f>
        <v>147</v>
      </c>
      <c r="Y168" s="17">
        <f>IFERROR('Option inputs'!$F22*(IF(Scenario_Select="Scenario 1",'CBA Inputs'!X$73-'CBA Inputs'!X81,0)+IF(Scenario_Select="Scenario 2",'CBA Inputs'!X$88-'CBA Inputs'!X96,0)+IF(Scenario_Select="Scenario 3",'CBA Inputs'!X$103-'CBA Inputs'!X111,0)+IF(Scenario_Select="Scenario 4",'CBA Inputs'!X$118-'CBA Inputs'!X126,0)),0)*Y$55</f>
        <v>2909995</v>
      </c>
      <c r="Z168" s="17">
        <f>IFERROR('Option inputs'!$F22*(IF(Scenario_Select="Scenario 1",'CBA Inputs'!Y$73-'CBA Inputs'!Y81,0)+IF(Scenario_Select="Scenario 2",'CBA Inputs'!Y$88-'CBA Inputs'!Y96,0)+IF(Scenario_Select="Scenario 3",'CBA Inputs'!Y$103-'CBA Inputs'!Y111,0)+IF(Scenario_Select="Scenario 4",'CBA Inputs'!Y$118-'CBA Inputs'!Y126,0)),0)*Z$55</f>
        <v>148</v>
      </c>
      <c r="AA168" s="17">
        <f>IFERROR('Option inputs'!$F22*(IF(Scenario_Select="Scenario 1",'CBA Inputs'!Z$73-'CBA Inputs'!Z81,0)+IF(Scenario_Select="Scenario 2",'CBA Inputs'!Z$88-'CBA Inputs'!Z96,0)+IF(Scenario_Select="Scenario 3",'CBA Inputs'!Z$103-'CBA Inputs'!Z111,0)+IF(Scenario_Select="Scenario 4",'CBA Inputs'!Z$118-'CBA Inputs'!Z126,0)),0)*AA$55</f>
        <v>139</v>
      </c>
      <c r="AB168" s="17">
        <f>IFERROR('Option inputs'!$F22*(IF(Scenario_Select="Scenario 1",'CBA Inputs'!AA$73-'CBA Inputs'!AA81,0)+IF(Scenario_Select="Scenario 2",'CBA Inputs'!AA$88-'CBA Inputs'!AA96,0)+IF(Scenario_Select="Scenario 3",'CBA Inputs'!AA$103-'CBA Inputs'!AA111,0)+IF(Scenario_Select="Scenario 4",'CBA Inputs'!AA$118-'CBA Inputs'!AA126,0)),0)*AB$55</f>
        <v>163</v>
      </c>
      <c r="AC168" s="17">
        <f>IFERROR('Option inputs'!$F22*(IF(Scenario_Select="Scenario 1",'CBA Inputs'!AB$73-'CBA Inputs'!AB81,0)+IF(Scenario_Select="Scenario 2",'CBA Inputs'!AB$88-'CBA Inputs'!AB96,0)+IF(Scenario_Select="Scenario 3",'CBA Inputs'!AB$103-'CBA Inputs'!AB111,0)+IF(Scenario_Select="Scenario 4",'CBA Inputs'!AB$118-'CBA Inputs'!AB126,0)),0)*AC$55</f>
        <v>161</v>
      </c>
      <c r="AD168" s="17">
        <f>IFERROR('Option inputs'!$F22*(IF(Scenario_Select="Scenario 1",'CBA Inputs'!AC$73-'CBA Inputs'!AC81,0)+IF(Scenario_Select="Scenario 2",'CBA Inputs'!AC$88-'CBA Inputs'!AC96,0)+IF(Scenario_Select="Scenario 3",'CBA Inputs'!AC$103-'CBA Inputs'!AC111,0)+IF(Scenario_Select="Scenario 4",'CBA Inputs'!AC$118-'CBA Inputs'!AC126,0)),0)*AD$55</f>
        <v>-100742</v>
      </c>
      <c r="AE168" s="17">
        <f>IFERROR('Option inputs'!$F22*(IF(Scenario_Select="Scenario 1",'CBA Inputs'!AD$73-'CBA Inputs'!AD81,0)+IF(Scenario_Select="Scenario 2",'CBA Inputs'!AD$88-'CBA Inputs'!AD96,0)+IF(Scenario_Select="Scenario 3",'CBA Inputs'!AD$103-'CBA Inputs'!AD111,0)+IF(Scenario_Select="Scenario 4",'CBA Inputs'!AD$118-'CBA Inputs'!AD126,0)),0)*AE$55</f>
        <v>5510591</v>
      </c>
      <c r="AF168" s="17">
        <f>IFERROR('Option inputs'!$F22*(IF(Scenario_Select="Scenario 1",'CBA Inputs'!AE$73-'CBA Inputs'!AE81,0)+IF(Scenario_Select="Scenario 2",'CBA Inputs'!AE$88-'CBA Inputs'!AE96,0)+IF(Scenario_Select="Scenario 3",'CBA Inputs'!AE$103-'CBA Inputs'!AE111,0)+IF(Scenario_Select="Scenario 4",'CBA Inputs'!AE$118-'CBA Inputs'!AE126,0)),0)*AF$55</f>
        <v>197</v>
      </c>
      <c r="AG168" s="17">
        <f>IFERROR('Option inputs'!$F22*(IF(Scenario_Select="Scenario 1",'CBA Inputs'!AF$73-'CBA Inputs'!AF81,0)+IF(Scenario_Select="Scenario 2",'CBA Inputs'!AF$88-'CBA Inputs'!AF96,0)+IF(Scenario_Select="Scenario 3",'CBA Inputs'!AF$103-'CBA Inputs'!AF111,0)+IF(Scenario_Select="Scenario 4",'CBA Inputs'!AF$118-'CBA Inputs'!AF126,0)),0)*AG$55</f>
        <v>0</v>
      </c>
      <c r="AH168" s="17">
        <f>IFERROR('Option inputs'!$F22*(IF(Scenario_Select="Scenario 1",'CBA Inputs'!AG$73-'CBA Inputs'!AG81,0)+IF(Scenario_Select="Scenario 2",'CBA Inputs'!AG$88-'CBA Inputs'!AG96,0)+IF(Scenario_Select="Scenario 3",'CBA Inputs'!AG$103-'CBA Inputs'!AG111,0)+IF(Scenario_Select="Scenario 4",'CBA Inputs'!AG$118-'CBA Inputs'!AG126,0)),0)*AH$55</f>
        <v>0</v>
      </c>
      <c r="AI168" s="17">
        <f>IFERROR('Option inputs'!$F22*(IF(Scenario_Select="Scenario 1",'CBA Inputs'!AH$73-'CBA Inputs'!AH81,0)+IF(Scenario_Select="Scenario 2",'CBA Inputs'!AH$88-'CBA Inputs'!AH96,0)+IF(Scenario_Select="Scenario 3",'CBA Inputs'!AH$103-'CBA Inputs'!AH111,0)+IF(Scenario_Select="Scenario 4",'CBA Inputs'!AH$118-'CBA Inputs'!AH126,0)),0)*AI$55</f>
        <v>0</v>
      </c>
      <c r="AJ168" s="17">
        <f>IFERROR('Option inputs'!$F22*(IF(Scenario_Select="Scenario 1",'CBA Inputs'!AI$73-'CBA Inputs'!AI81,0)+IF(Scenario_Select="Scenario 2",'CBA Inputs'!AI$88-'CBA Inputs'!AI96,0)+IF(Scenario_Select="Scenario 3",'CBA Inputs'!AI$103-'CBA Inputs'!AI111,0)+IF(Scenario_Select="Scenario 4",'CBA Inputs'!AI$118-'CBA Inputs'!AI126,0)),0)*AJ$55</f>
        <v>0</v>
      </c>
    </row>
    <row r="169" spans="2:36" x14ac:dyDescent="0.35">
      <c r="B169" s="9">
        <f>'Option inputs'!B23</f>
        <v>9</v>
      </c>
      <c r="C169" s="26" t="str">
        <f>'Option inputs'!C23</f>
        <v>Option 3C</v>
      </c>
      <c r="D169" s="26"/>
      <c r="E169" s="12" t="s">
        <v>35</v>
      </c>
      <c r="F169" s="18">
        <f t="shared" si="43"/>
        <v>136242204.82977128</v>
      </c>
      <c r="G169" s="17">
        <f>IFERROR('Option inputs'!$F23*(IF(Scenario_Select="Scenario 1",'CBA Inputs'!F$73-'CBA Inputs'!F82,0)+IF(Scenario_Select="Scenario 2",'CBA Inputs'!F$88-'CBA Inputs'!F97,0)+IF(Scenario_Select="Scenario 3",'CBA Inputs'!F$103-'CBA Inputs'!F112,0)+IF(Scenario_Select="Scenario 4",'CBA Inputs'!F$118-'CBA Inputs'!F127,0)),0)*G$55</f>
        <v>0</v>
      </c>
      <c r="H169" s="17">
        <f>IFERROR('Option inputs'!$F23*(IF(Scenario_Select="Scenario 1",'CBA Inputs'!G$73-'CBA Inputs'!G82,0)+IF(Scenario_Select="Scenario 2",'CBA Inputs'!G$88-'CBA Inputs'!G97,0)+IF(Scenario_Select="Scenario 3",'CBA Inputs'!G$103-'CBA Inputs'!G112,0)+IF(Scenario_Select="Scenario 4",'CBA Inputs'!G$118-'CBA Inputs'!G127,0)),0)*H$55</f>
        <v>-57</v>
      </c>
      <c r="I169" s="17">
        <f>IFERROR('Option inputs'!$F23*(IF(Scenario_Select="Scenario 1",'CBA Inputs'!H$73-'CBA Inputs'!H82,0)+IF(Scenario_Select="Scenario 2",'CBA Inputs'!H$88-'CBA Inputs'!H97,0)+IF(Scenario_Select="Scenario 3",'CBA Inputs'!H$103-'CBA Inputs'!H112,0)+IF(Scenario_Select="Scenario 4",'CBA Inputs'!H$118-'CBA Inputs'!H127,0)),0)*I$55</f>
        <v>-215</v>
      </c>
      <c r="J169" s="17">
        <f>IFERROR('Option inputs'!$F23*(IF(Scenario_Select="Scenario 1",'CBA Inputs'!I$73-'CBA Inputs'!I82,0)+IF(Scenario_Select="Scenario 2",'CBA Inputs'!I$88-'CBA Inputs'!I97,0)+IF(Scenario_Select="Scenario 3",'CBA Inputs'!I$103-'CBA Inputs'!I112,0)+IF(Scenario_Select="Scenario 4",'CBA Inputs'!I$118-'CBA Inputs'!I127,0)),0)*J$55</f>
        <v>-167</v>
      </c>
      <c r="K169" s="17">
        <f>IFERROR('Option inputs'!$F23*(IF(Scenario_Select="Scenario 1",'CBA Inputs'!J$73-'CBA Inputs'!J82,0)+IF(Scenario_Select="Scenario 2",'CBA Inputs'!J$88-'CBA Inputs'!J97,0)+IF(Scenario_Select="Scenario 3",'CBA Inputs'!J$103-'CBA Inputs'!J112,0)+IF(Scenario_Select="Scenario 4",'CBA Inputs'!J$118-'CBA Inputs'!J127,0)),0)*K$55</f>
        <v>-44750400</v>
      </c>
      <c r="L169" s="17">
        <f>IFERROR('Option inputs'!$F23*(IF(Scenario_Select="Scenario 1",'CBA Inputs'!K$73-'CBA Inputs'!K82,0)+IF(Scenario_Select="Scenario 2",'CBA Inputs'!K$88-'CBA Inputs'!K97,0)+IF(Scenario_Select="Scenario 3",'CBA Inputs'!K$103-'CBA Inputs'!K112,0)+IF(Scenario_Select="Scenario 4",'CBA Inputs'!K$118-'CBA Inputs'!K127,0)),0)*L$55</f>
        <v>142284470</v>
      </c>
      <c r="M169" s="17">
        <f>IFERROR('Option inputs'!$F23*(IF(Scenario_Select="Scenario 1",'CBA Inputs'!L$73-'CBA Inputs'!L82,0)+IF(Scenario_Select="Scenario 2",'CBA Inputs'!L$88-'CBA Inputs'!L97,0)+IF(Scenario_Select="Scenario 3",'CBA Inputs'!L$103-'CBA Inputs'!L112,0)+IF(Scenario_Select="Scenario 4",'CBA Inputs'!L$118-'CBA Inputs'!L127,0)),0)*M$55</f>
        <v>-376</v>
      </c>
      <c r="N169" s="17">
        <f>IFERROR('Option inputs'!$F23*(IF(Scenario_Select="Scenario 1",'CBA Inputs'!M$73-'CBA Inputs'!M82,0)+IF(Scenario_Select="Scenario 2",'CBA Inputs'!M$88-'CBA Inputs'!M97,0)+IF(Scenario_Select="Scenario 3",'CBA Inputs'!M$103-'CBA Inputs'!M112,0)+IF(Scenario_Select="Scenario 4",'CBA Inputs'!M$118-'CBA Inputs'!M127,0)),0)*N$55</f>
        <v>19731292</v>
      </c>
      <c r="O169" s="17">
        <f>IFERROR('Option inputs'!$F23*(IF(Scenario_Select="Scenario 1",'CBA Inputs'!N$73-'CBA Inputs'!N82,0)+IF(Scenario_Select="Scenario 2",'CBA Inputs'!N$88-'CBA Inputs'!N97,0)+IF(Scenario_Select="Scenario 3",'CBA Inputs'!N$103-'CBA Inputs'!N112,0)+IF(Scenario_Select="Scenario 4",'CBA Inputs'!N$118-'CBA Inputs'!N127,0)),0)*O$55</f>
        <v>-409</v>
      </c>
      <c r="P169" s="17">
        <f>IFERROR('Option inputs'!$F23*(IF(Scenario_Select="Scenario 1",'CBA Inputs'!O$73-'CBA Inputs'!O82,0)+IF(Scenario_Select="Scenario 2",'CBA Inputs'!O$88-'CBA Inputs'!O97,0)+IF(Scenario_Select="Scenario 3",'CBA Inputs'!O$103-'CBA Inputs'!O112,0)+IF(Scenario_Select="Scenario 4",'CBA Inputs'!O$118-'CBA Inputs'!O127,0)),0)*P$55</f>
        <v>54820819</v>
      </c>
      <c r="Q169" s="17">
        <f>IFERROR('Option inputs'!$F23*(IF(Scenario_Select="Scenario 1",'CBA Inputs'!P$73-'CBA Inputs'!P82,0)+IF(Scenario_Select="Scenario 2",'CBA Inputs'!P$88-'CBA Inputs'!P97,0)+IF(Scenario_Select="Scenario 3",'CBA Inputs'!P$103-'CBA Inputs'!P112,0)+IF(Scenario_Select="Scenario 4",'CBA Inputs'!P$118-'CBA Inputs'!P127,0)),0)*Q$55</f>
        <v>6185240</v>
      </c>
      <c r="R169" s="17">
        <f>IFERROR('Option inputs'!$F23*(IF(Scenario_Select="Scenario 1",'CBA Inputs'!Q$73-'CBA Inputs'!Q82,0)+IF(Scenario_Select="Scenario 2",'CBA Inputs'!Q$88-'CBA Inputs'!Q97,0)+IF(Scenario_Select="Scenario 3",'CBA Inputs'!Q$103-'CBA Inputs'!Q112,0)+IF(Scenario_Select="Scenario 4",'CBA Inputs'!Q$118-'CBA Inputs'!Q127,0)),0)*R$55</f>
        <v>177967</v>
      </c>
      <c r="S169" s="17">
        <f>IFERROR('Option inputs'!$F23*(IF(Scenario_Select="Scenario 1",'CBA Inputs'!R$73-'CBA Inputs'!R82,0)+IF(Scenario_Select="Scenario 2",'CBA Inputs'!R$88-'CBA Inputs'!R97,0)+IF(Scenario_Select="Scenario 3",'CBA Inputs'!R$103-'CBA Inputs'!R112,0)+IF(Scenario_Select="Scenario 4",'CBA Inputs'!R$118-'CBA Inputs'!R127,0)),0)*S$55</f>
        <v>5089257</v>
      </c>
      <c r="T169" s="17">
        <f>IFERROR('Option inputs'!$F23*(IF(Scenario_Select="Scenario 1",'CBA Inputs'!S$73-'CBA Inputs'!S82,0)+IF(Scenario_Select="Scenario 2",'CBA Inputs'!S$88-'CBA Inputs'!S97,0)+IF(Scenario_Select="Scenario 3",'CBA Inputs'!S$103-'CBA Inputs'!S112,0)+IF(Scenario_Select="Scenario 4",'CBA Inputs'!S$118-'CBA Inputs'!S127,0)),0)*T$55</f>
        <v>-605</v>
      </c>
      <c r="U169" s="17">
        <f>IFERROR('Option inputs'!$F23*(IF(Scenario_Select="Scenario 1",'CBA Inputs'!T$73-'CBA Inputs'!T82,0)+IF(Scenario_Select="Scenario 2",'CBA Inputs'!T$88-'CBA Inputs'!T97,0)+IF(Scenario_Select="Scenario 3",'CBA Inputs'!T$103-'CBA Inputs'!T112,0)+IF(Scenario_Select="Scenario 4",'CBA Inputs'!T$118-'CBA Inputs'!T127,0)),0)*U$55</f>
        <v>6368634</v>
      </c>
      <c r="V169" s="17">
        <f>IFERROR('Option inputs'!$F23*(IF(Scenario_Select="Scenario 1",'CBA Inputs'!U$73-'CBA Inputs'!U82,0)+IF(Scenario_Select="Scenario 2",'CBA Inputs'!U$88-'CBA Inputs'!U97,0)+IF(Scenario_Select="Scenario 3",'CBA Inputs'!U$103-'CBA Inputs'!U112,0)+IF(Scenario_Select="Scenario 4",'CBA Inputs'!U$118-'CBA Inputs'!U127,0)),0)*V$55</f>
        <v>16880168</v>
      </c>
      <c r="W169" s="17">
        <f>IFERROR('Option inputs'!$F23*(IF(Scenario_Select="Scenario 1",'CBA Inputs'!V$73-'CBA Inputs'!V82,0)+IF(Scenario_Select="Scenario 2",'CBA Inputs'!V$88-'CBA Inputs'!V97,0)+IF(Scenario_Select="Scenario 3",'CBA Inputs'!V$103-'CBA Inputs'!V112,0)+IF(Scenario_Select="Scenario 4",'CBA Inputs'!V$118-'CBA Inputs'!V127,0)),0)*W$55</f>
        <v>1317577</v>
      </c>
      <c r="X169" s="17">
        <f>IFERROR('Option inputs'!$F23*(IF(Scenario_Select="Scenario 1",'CBA Inputs'!W$73-'CBA Inputs'!W82,0)+IF(Scenario_Select="Scenario 2",'CBA Inputs'!W$88-'CBA Inputs'!W97,0)+IF(Scenario_Select="Scenario 3",'CBA Inputs'!W$103-'CBA Inputs'!W112,0)+IF(Scenario_Select="Scenario 4",'CBA Inputs'!W$118-'CBA Inputs'!W127,0)),0)*X$55</f>
        <v>-770</v>
      </c>
      <c r="Y169" s="17">
        <f>IFERROR('Option inputs'!$F23*(IF(Scenario_Select="Scenario 1",'CBA Inputs'!X$73-'CBA Inputs'!X82,0)+IF(Scenario_Select="Scenario 2",'CBA Inputs'!X$88-'CBA Inputs'!X97,0)+IF(Scenario_Select="Scenario 3",'CBA Inputs'!X$103-'CBA Inputs'!X112,0)+IF(Scenario_Select="Scenario 4",'CBA Inputs'!X$118-'CBA Inputs'!X127,0)),0)*Y$55</f>
        <v>2908293</v>
      </c>
      <c r="Z169" s="17">
        <f>IFERROR('Option inputs'!$F23*(IF(Scenario_Select="Scenario 1",'CBA Inputs'!Y$73-'CBA Inputs'!Y82,0)+IF(Scenario_Select="Scenario 2",'CBA Inputs'!Y$88-'CBA Inputs'!Y97,0)+IF(Scenario_Select="Scenario 3",'CBA Inputs'!Y$103-'CBA Inputs'!Y112,0)+IF(Scenario_Select="Scenario 4",'CBA Inputs'!Y$118-'CBA Inputs'!Y127,0)),0)*Z$55</f>
        <v>-886</v>
      </c>
      <c r="AA169" s="17">
        <f>IFERROR('Option inputs'!$F23*(IF(Scenario_Select="Scenario 1",'CBA Inputs'!Z$73-'CBA Inputs'!Z82,0)+IF(Scenario_Select="Scenario 2",'CBA Inputs'!Z$88-'CBA Inputs'!Z97,0)+IF(Scenario_Select="Scenario 3",'CBA Inputs'!Z$103-'CBA Inputs'!Z112,0)+IF(Scenario_Select="Scenario 4",'CBA Inputs'!Z$118-'CBA Inputs'!Z127,0)),0)*AA$55</f>
        <v>-957</v>
      </c>
      <c r="AB169" s="17">
        <f>IFERROR('Option inputs'!$F23*(IF(Scenario_Select="Scenario 1",'CBA Inputs'!AA$73-'CBA Inputs'!AA82,0)+IF(Scenario_Select="Scenario 2",'CBA Inputs'!AA$88-'CBA Inputs'!AA97,0)+IF(Scenario_Select="Scenario 3",'CBA Inputs'!AA$103-'CBA Inputs'!AA112,0)+IF(Scenario_Select="Scenario 4",'CBA Inputs'!AA$118-'CBA Inputs'!AA127,0)),0)*AB$55</f>
        <v>-1000</v>
      </c>
      <c r="AC169" s="17">
        <f>IFERROR('Option inputs'!$F23*(IF(Scenario_Select="Scenario 1",'CBA Inputs'!AB$73-'CBA Inputs'!AB82,0)+IF(Scenario_Select="Scenario 2",'CBA Inputs'!AB$88-'CBA Inputs'!AB97,0)+IF(Scenario_Select="Scenario 3",'CBA Inputs'!AB$103-'CBA Inputs'!AB112,0)+IF(Scenario_Select="Scenario 4",'CBA Inputs'!AB$118-'CBA Inputs'!AB127,0)),0)*AC$55</f>
        <v>-1075</v>
      </c>
      <c r="AD169" s="17">
        <f>IFERROR('Option inputs'!$F23*(IF(Scenario_Select="Scenario 1",'CBA Inputs'!AC$73-'CBA Inputs'!AC82,0)+IF(Scenario_Select="Scenario 2",'CBA Inputs'!AC$88-'CBA Inputs'!AC97,0)+IF(Scenario_Select="Scenario 3",'CBA Inputs'!AC$103-'CBA Inputs'!AC112,0)+IF(Scenario_Select="Scenario 4",'CBA Inputs'!AC$118-'CBA Inputs'!AC127,0)),0)*AD$55</f>
        <v>-101991</v>
      </c>
      <c r="AE169" s="17">
        <f>IFERROR('Option inputs'!$F23*(IF(Scenario_Select="Scenario 1",'CBA Inputs'!AD$73-'CBA Inputs'!AD82,0)+IF(Scenario_Select="Scenario 2",'CBA Inputs'!AD$88-'CBA Inputs'!AD97,0)+IF(Scenario_Select="Scenario 3",'CBA Inputs'!AD$103-'CBA Inputs'!AD112,0)+IF(Scenario_Select="Scenario 4",'CBA Inputs'!AD$118-'CBA Inputs'!AD127,0)),0)*AE$55</f>
        <v>5509258</v>
      </c>
      <c r="AF169" s="17">
        <f>IFERROR('Option inputs'!$F23*(IF(Scenario_Select="Scenario 1",'CBA Inputs'!AE$73-'CBA Inputs'!AE82,0)+IF(Scenario_Select="Scenario 2",'CBA Inputs'!AE$88-'CBA Inputs'!AE97,0)+IF(Scenario_Select="Scenario 3",'CBA Inputs'!AE$103-'CBA Inputs'!AE112,0)+IF(Scenario_Select="Scenario 4",'CBA Inputs'!AE$118-'CBA Inputs'!AE127,0)),0)*AF$55</f>
        <v>-1286</v>
      </c>
      <c r="AG169" s="17">
        <f>IFERROR('Option inputs'!$F23*(IF(Scenario_Select="Scenario 1",'CBA Inputs'!AF$73-'CBA Inputs'!AF82,0)+IF(Scenario_Select="Scenario 2",'CBA Inputs'!AF$88-'CBA Inputs'!AF97,0)+IF(Scenario_Select="Scenario 3",'CBA Inputs'!AF$103-'CBA Inputs'!AF112,0)+IF(Scenario_Select="Scenario 4",'CBA Inputs'!AF$118-'CBA Inputs'!AF127,0)),0)*AG$55</f>
        <v>0</v>
      </c>
      <c r="AH169" s="17">
        <f>IFERROR('Option inputs'!$F23*(IF(Scenario_Select="Scenario 1",'CBA Inputs'!AG$73-'CBA Inputs'!AG82,0)+IF(Scenario_Select="Scenario 2",'CBA Inputs'!AG$88-'CBA Inputs'!AG97,0)+IF(Scenario_Select="Scenario 3",'CBA Inputs'!AG$103-'CBA Inputs'!AG112,0)+IF(Scenario_Select="Scenario 4",'CBA Inputs'!AG$118-'CBA Inputs'!AG127,0)),0)*AH$55</f>
        <v>0</v>
      </c>
      <c r="AI169" s="17">
        <f>IFERROR('Option inputs'!$F23*(IF(Scenario_Select="Scenario 1",'CBA Inputs'!AH$73-'CBA Inputs'!AH82,0)+IF(Scenario_Select="Scenario 2",'CBA Inputs'!AH$88-'CBA Inputs'!AH97,0)+IF(Scenario_Select="Scenario 3",'CBA Inputs'!AH$103-'CBA Inputs'!AH112,0)+IF(Scenario_Select="Scenario 4",'CBA Inputs'!AH$118-'CBA Inputs'!AH127,0)),0)*AI$55</f>
        <v>0</v>
      </c>
      <c r="AJ169" s="17">
        <f>IFERROR('Option inputs'!$F23*(IF(Scenario_Select="Scenario 1",'CBA Inputs'!AI$73-'CBA Inputs'!AI82,0)+IF(Scenario_Select="Scenario 2",'CBA Inputs'!AI$88-'CBA Inputs'!AI97,0)+IF(Scenario_Select="Scenario 3",'CBA Inputs'!AI$103-'CBA Inputs'!AI112,0)+IF(Scenario_Select="Scenario 4",'CBA Inputs'!AI$118-'CBA Inputs'!AI127,0)),0)*AJ$55</f>
        <v>0</v>
      </c>
    </row>
    <row r="170" spans="2:36" x14ac:dyDescent="0.35">
      <c r="B170" s="9">
        <f>'Option inputs'!B24</f>
        <v>10</v>
      </c>
      <c r="C170" s="26" t="str">
        <f>'Option inputs'!C24</f>
        <v>Option 4A</v>
      </c>
      <c r="D170" s="26"/>
      <c r="E170" s="12" t="s">
        <v>35</v>
      </c>
      <c r="F170" s="18">
        <f t="shared" si="43"/>
        <v>60921757.465499409</v>
      </c>
      <c r="G170" s="17">
        <f>IFERROR('Option inputs'!$F24*(IF(Scenario_Select="Scenario 1",'CBA Inputs'!F$73-'CBA Inputs'!F83,0)+IF(Scenario_Select="Scenario 2",'CBA Inputs'!F$88-'CBA Inputs'!F98,0)+IF(Scenario_Select="Scenario 3",'CBA Inputs'!F$103-'CBA Inputs'!F113,0)+IF(Scenario_Select="Scenario 4",'CBA Inputs'!F$118-'CBA Inputs'!F128,0)),0)*G$55</f>
        <v>0</v>
      </c>
      <c r="H170" s="17">
        <f>IFERROR('Option inputs'!$F24*(IF(Scenario_Select="Scenario 1",'CBA Inputs'!G$73-'CBA Inputs'!G83,0)+IF(Scenario_Select="Scenario 2",'CBA Inputs'!G$88-'CBA Inputs'!G98,0)+IF(Scenario_Select="Scenario 3",'CBA Inputs'!G$103-'CBA Inputs'!G113,0)+IF(Scenario_Select="Scenario 4",'CBA Inputs'!G$118-'CBA Inputs'!G128,0)),0)*H$55</f>
        <v>46</v>
      </c>
      <c r="I170" s="17">
        <f>IFERROR('Option inputs'!$F24*(IF(Scenario_Select="Scenario 1",'CBA Inputs'!H$73-'CBA Inputs'!H83,0)+IF(Scenario_Select="Scenario 2",'CBA Inputs'!H$88-'CBA Inputs'!H98,0)+IF(Scenario_Select="Scenario 3",'CBA Inputs'!H$103-'CBA Inputs'!H113,0)+IF(Scenario_Select="Scenario 4",'CBA Inputs'!H$118-'CBA Inputs'!H128,0)),0)*I$55</f>
        <v>69</v>
      </c>
      <c r="J170" s="17">
        <f>IFERROR('Option inputs'!$F24*(IF(Scenario_Select="Scenario 1",'CBA Inputs'!I$73-'CBA Inputs'!I83,0)+IF(Scenario_Select="Scenario 2",'CBA Inputs'!I$88-'CBA Inputs'!I98,0)+IF(Scenario_Select="Scenario 3",'CBA Inputs'!I$103-'CBA Inputs'!I113,0)+IF(Scenario_Select="Scenario 4",'CBA Inputs'!I$118-'CBA Inputs'!I128,0)),0)*J$55</f>
        <v>44</v>
      </c>
      <c r="K170" s="17">
        <f>IFERROR('Option inputs'!$F24*(IF(Scenario_Select="Scenario 1",'CBA Inputs'!J$73-'CBA Inputs'!J83,0)+IF(Scenario_Select="Scenario 2",'CBA Inputs'!J$88-'CBA Inputs'!J98,0)+IF(Scenario_Select="Scenario 3",'CBA Inputs'!J$103-'CBA Inputs'!J113,0)+IF(Scenario_Select="Scenario 4",'CBA Inputs'!J$118-'CBA Inputs'!J128,0)),0)*K$55</f>
        <v>-20709722</v>
      </c>
      <c r="L170" s="17">
        <f>IFERROR('Option inputs'!$F24*(IF(Scenario_Select="Scenario 1",'CBA Inputs'!K$73-'CBA Inputs'!K83,0)+IF(Scenario_Select="Scenario 2",'CBA Inputs'!K$88-'CBA Inputs'!K98,0)+IF(Scenario_Select="Scenario 3",'CBA Inputs'!K$103-'CBA Inputs'!K113,0)+IF(Scenario_Select="Scenario 4",'CBA Inputs'!K$118-'CBA Inputs'!K128,0)),0)*L$55</f>
        <v>62765645</v>
      </c>
      <c r="M170" s="17">
        <f>IFERROR('Option inputs'!$F24*(IF(Scenario_Select="Scenario 1",'CBA Inputs'!L$73-'CBA Inputs'!L83,0)+IF(Scenario_Select="Scenario 2",'CBA Inputs'!L$88-'CBA Inputs'!L98,0)+IF(Scenario_Select="Scenario 3",'CBA Inputs'!L$103-'CBA Inputs'!L113,0)+IF(Scenario_Select="Scenario 4",'CBA Inputs'!L$118-'CBA Inputs'!L128,0)),0)*M$55</f>
        <v>96</v>
      </c>
      <c r="N170" s="17">
        <f>IFERROR('Option inputs'!$F24*(IF(Scenario_Select="Scenario 1",'CBA Inputs'!M$73-'CBA Inputs'!M83,0)+IF(Scenario_Select="Scenario 2",'CBA Inputs'!M$88-'CBA Inputs'!M98,0)+IF(Scenario_Select="Scenario 3",'CBA Inputs'!M$103-'CBA Inputs'!M113,0)+IF(Scenario_Select="Scenario 4",'CBA Inputs'!M$118-'CBA Inputs'!M128,0)),0)*N$55</f>
        <v>19731784</v>
      </c>
      <c r="O170" s="17">
        <f>IFERROR('Option inputs'!$F24*(IF(Scenario_Select="Scenario 1",'CBA Inputs'!N$73-'CBA Inputs'!N83,0)+IF(Scenario_Select="Scenario 2",'CBA Inputs'!N$88-'CBA Inputs'!N98,0)+IF(Scenario_Select="Scenario 3",'CBA Inputs'!N$103-'CBA Inputs'!N113,0)+IF(Scenario_Select="Scenario 4",'CBA Inputs'!N$118-'CBA Inputs'!N128,0)),0)*O$55</f>
        <v>118</v>
      </c>
      <c r="P170" s="17">
        <f>IFERROR('Option inputs'!$F24*(IF(Scenario_Select="Scenario 1",'CBA Inputs'!O$73-'CBA Inputs'!O83,0)+IF(Scenario_Select="Scenario 2",'CBA Inputs'!O$88-'CBA Inputs'!O98,0)+IF(Scenario_Select="Scenario 3",'CBA Inputs'!O$103-'CBA Inputs'!O113,0)+IF(Scenario_Select="Scenario 4",'CBA Inputs'!O$118-'CBA Inputs'!O128,0)),0)*P$55</f>
        <v>25791215</v>
      </c>
      <c r="Q170" s="17">
        <f>IFERROR('Option inputs'!$F24*(IF(Scenario_Select="Scenario 1",'CBA Inputs'!P$73-'CBA Inputs'!P83,0)+IF(Scenario_Select="Scenario 2",'CBA Inputs'!P$88-'CBA Inputs'!P98,0)+IF(Scenario_Select="Scenario 3",'CBA Inputs'!P$103-'CBA Inputs'!P113,0)+IF(Scenario_Select="Scenario 4",'CBA Inputs'!P$118-'CBA Inputs'!P128,0)),0)*Q$55</f>
        <v>3654279</v>
      </c>
      <c r="R170" s="17">
        <f>IFERROR('Option inputs'!$F24*(IF(Scenario_Select="Scenario 1",'CBA Inputs'!Q$73-'CBA Inputs'!Q83,0)+IF(Scenario_Select="Scenario 2",'CBA Inputs'!Q$88-'CBA Inputs'!Q98,0)+IF(Scenario_Select="Scenario 3",'CBA Inputs'!Q$103-'CBA Inputs'!Q113,0)+IF(Scenario_Select="Scenario 4",'CBA Inputs'!Q$118-'CBA Inputs'!Q128,0)),0)*R$55</f>
        <v>178607</v>
      </c>
      <c r="S170" s="17">
        <f>IFERROR('Option inputs'!$F24*(IF(Scenario_Select="Scenario 1",'CBA Inputs'!R$73-'CBA Inputs'!R83,0)+IF(Scenario_Select="Scenario 2",'CBA Inputs'!R$88-'CBA Inputs'!R98,0)+IF(Scenario_Select="Scenario 3",'CBA Inputs'!R$103-'CBA Inputs'!R113,0)+IF(Scenario_Select="Scenario 4",'CBA Inputs'!R$118-'CBA Inputs'!R128,0)),0)*S$55</f>
        <v>348656</v>
      </c>
      <c r="T170" s="17">
        <f>IFERROR('Option inputs'!$F24*(IF(Scenario_Select="Scenario 1",'CBA Inputs'!S$73-'CBA Inputs'!S83,0)+IF(Scenario_Select="Scenario 2",'CBA Inputs'!S$88-'CBA Inputs'!S98,0)+IF(Scenario_Select="Scenario 3",'CBA Inputs'!S$103-'CBA Inputs'!S113,0)+IF(Scenario_Select="Scenario 4",'CBA Inputs'!S$118-'CBA Inputs'!S128,0)),0)*T$55</f>
        <v>116</v>
      </c>
      <c r="U170" s="17">
        <f>IFERROR('Option inputs'!$F24*(IF(Scenario_Select="Scenario 1",'CBA Inputs'!T$73-'CBA Inputs'!T83,0)+IF(Scenario_Select="Scenario 2",'CBA Inputs'!T$88-'CBA Inputs'!T98,0)+IF(Scenario_Select="Scenario 3",'CBA Inputs'!T$103-'CBA Inputs'!T113,0)+IF(Scenario_Select="Scenario 4",'CBA Inputs'!T$118-'CBA Inputs'!T128,0)),0)*U$55</f>
        <v>-954739</v>
      </c>
      <c r="V170" s="17">
        <f>IFERROR('Option inputs'!$F24*(IF(Scenario_Select="Scenario 1",'CBA Inputs'!U$73-'CBA Inputs'!U83,0)+IF(Scenario_Select="Scenario 2",'CBA Inputs'!U$88-'CBA Inputs'!U98,0)+IF(Scenario_Select="Scenario 3",'CBA Inputs'!U$103-'CBA Inputs'!U113,0)+IF(Scenario_Select="Scenario 4",'CBA Inputs'!U$118-'CBA Inputs'!U128,0)),0)*V$55</f>
        <v>9400048</v>
      </c>
      <c r="W170" s="17">
        <f>IFERROR('Option inputs'!$F24*(IF(Scenario_Select="Scenario 1",'CBA Inputs'!V$73-'CBA Inputs'!V83,0)+IF(Scenario_Select="Scenario 2",'CBA Inputs'!V$88-'CBA Inputs'!V98,0)+IF(Scenario_Select="Scenario 3",'CBA Inputs'!V$103-'CBA Inputs'!V113,0)+IF(Scenario_Select="Scenario 4",'CBA Inputs'!V$118-'CBA Inputs'!V128,0)),0)*W$55</f>
        <v>-1752095</v>
      </c>
      <c r="X170" s="17">
        <f>IFERROR('Option inputs'!$F24*(IF(Scenario_Select="Scenario 1",'CBA Inputs'!W$73-'CBA Inputs'!W83,0)+IF(Scenario_Select="Scenario 2",'CBA Inputs'!W$88-'CBA Inputs'!W98,0)+IF(Scenario_Select="Scenario 3",'CBA Inputs'!W$103-'CBA Inputs'!W113,0)+IF(Scenario_Select="Scenario 4",'CBA Inputs'!W$118-'CBA Inputs'!W128,0)),0)*X$55</f>
        <v>139</v>
      </c>
      <c r="Y170" s="17">
        <f>IFERROR('Option inputs'!$F24*(IF(Scenario_Select="Scenario 1",'CBA Inputs'!X$73-'CBA Inputs'!X83,0)+IF(Scenario_Select="Scenario 2",'CBA Inputs'!X$88-'CBA Inputs'!X98,0)+IF(Scenario_Select="Scenario 3",'CBA Inputs'!X$103-'CBA Inputs'!X113,0)+IF(Scenario_Select="Scenario 4",'CBA Inputs'!X$118-'CBA Inputs'!X128,0)),0)*Y$55</f>
        <v>-9511537</v>
      </c>
      <c r="Z170" s="17">
        <f>IFERROR('Option inputs'!$F24*(IF(Scenario_Select="Scenario 1",'CBA Inputs'!Y$73-'CBA Inputs'!Y83,0)+IF(Scenario_Select="Scenario 2",'CBA Inputs'!Y$88-'CBA Inputs'!Y98,0)+IF(Scenario_Select="Scenario 3",'CBA Inputs'!Y$103-'CBA Inputs'!Y113,0)+IF(Scenario_Select="Scenario 4",'CBA Inputs'!Y$118-'CBA Inputs'!Y128,0)),0)*Z$55</f>
        <v>139</v>
      </c>
      <c r="AA170" s="17">
        <f>IFERROR('Option inputs'!$F24*(IF(Scenario_Select="Scenario 1",'CBA Inputs'!Z$73-'CBA Inputs'!Z83,0)+IF(Scenario_Select="Scenario 2",'CBA Inputs'!Z$88-'CBA Inputs'!Z98,0)+IF(Scenario_Select="Scenario 3",'CBA Inputs'!Z$103-'CBA Inputs'!Z113,0)+IF(Scenario_Select="Scenario 4",'CBA Inputs'!Z$118-'CBA Inputs'!Z128,0)),0)*AA$55</f>
        <v>144</v>
      </c>
      <c r="AB170" s="17">
        <f>IFERROR('Option inputs'!$F24*(IF(Scenario_Select="Scenario 1",'CBA Inputs'!AA$73-'CBA Inputs'!AA83,0)+IF(Scenario_Select="Scenario 2",'CBA Inputs'!AA$88-'CBA Inputs'!AA98,0)+IF(Scenario_Select="Scenario 3",'CBA Inputs'!AA$103-'CBA Inputs'!AA113,0)+IF(Scenario_Select="Scenario 4",'CBA Inputs'!AA$118-'CBA Inputs'!AA128,0)),0)*AB$55</f>
        <v>144</v>
      </c>
      <c r="AC170" s="17">
        <f>IFERROR('Option inputs'!$F24*(IF(Scenario_Select="Scenario 1",'CBA Inputs'!AB$73-'CBA Inputs'!AB83,0)+IF(Scenario_Select="Scenario 2",'CBA Inputs'!AB$88-'CBA Inputs'!AB98,0)+IF(Scenario_Select="Scenario 3",'CBA Inputs'!AB$103-'CBA Inputs'!AB113,0)+IF(Scenario_Select="Scenario 4",'CBA Inputs'!AB$118-'CBA Inputs'!AB128,0)),0)*AC$55</f>
        <v>158</v>
      </c>
      <c r="AD170" s="17">
        <f>IFERROR('Option inputs'!$F24*(IF(Scenario_Select="Scenario 1",'CBA Inputs'!AC$73-'CBA Inputs'!AC83,0)+IF(Scenario_Select="Scenario 2",'CBA Inputs'!AC$88-'CBA Inputs'!AC98,0)+IF(Scenario_Select="Scenario 3",'CBA Inputs'!AC$103-'CBA Inputs'!AC113,0)+IF(Scenario_Select="Scenario 4",'CBA Inputs'!AC$118-'CBA Inputs'!AC128,0)),0)*AD$55</f>
        <v>-3771542</v>
      </c>
      <c r="AE170" s="17">
        <f>IFERROR('Option inputs'!$F24*(IF(Scenario_Select="Scenario 1",'CBA Inputs'!AD$73-'CBA Inputs'!AD83,0)+IF(Scenario_Select="Scenario 2",'CBA Inputs'!AD$88-'CBA Inputs'!AD98,0)+IF(Scenario_Select="Scenario 3",'CBA Inputs'!AD$103-'CBA Inputs'!AD113,0)+IF(Scenario_Select="Scenario 4",'CBA Inputs'!AD$118-'CBA Inputs'!AD128,0)),0)*AE$55</f>
        <v>3465786</v>
      </c>
      <c r="AF170" s="17">
        <f>IFERROR('Option inputs'!$F24*(IF(Scenario_Select="Scenario 1",'CBA Inputs'!AE$73-'CBA Inputs'!AE83,0)+IF(Scenario_Select="Scenario 2",'CBA Inputs'!AE$88-'CBA Inputs'!AE98,0)+IF(Scenario_Select="Scenario 3",'CBA Inputs'!AE$103-'CBA Inputs'!AE113,0)+IF(Scenario_Select="Scenario 4",'CBA Inputs'!AE$118-'CBA Inputs'!AE128,0)),0)*AF$55</f>
        <v>170</v>
      </c>
      <c r="AG170" s="17">
        <f>IFERROR('Option inputs'!$F24*(IF(Scenario_Select="Scenario 1",'CBA Inputs'!AF$73-'CBA Inputs'!AF83,0)+IF(Scenario_Select="Scenario 2",'CBA Inputs'!AF$88-'CBA Inputs'!AF98,0)+IF(Scenario_Select="Scenario 3",'CBA Inputs'!AF$103-'CBA Inputs'!AF113,0)+IF(Scenario_Select="Scenario 4",'CBA Inputs'!AF$118-'CBA Inputs'!AF128,0)),0)*AG$55</f>
        <v>0</v>
      </c>
      <c r="AH170" s="17">
        <f>IFERROR('Option inputs'!$F24*(IF(Scenario_Select="Scenario 1",'CBA Inputs'!AG$73-'CBA Inputs'!AG83,0)+IF(Scenario_Select="Scenario 2",'CBA Inputs'!AG$88-'CBA Inputs'!AG98,0)+IF(Scenario_Select="Scenario 3",'CBA Inputs'!AG$103-'CBA Inputs'!AG113,0)+IF(Scenario_Select="Scenario 4",'CBA Inputs'!AG$118-'CBA Inputs'!AG128,0)),0)*AH$55</f>
        <v>0</v>
      </c>
      <c r="AI170" s="17">
        <f>IFERROR('Option inputs'!$F24*(IF(Scenario_Select="Scenario 1",'CBA Inputs'!AH$73-'CBA Inputs'!AH83,0)+IF(Scenario_Select="Scenario 2",'CBA Inputs'!AH$88-'CBA Inputs'!AH98,0)+IF(Scenario_Select="Scenario 3",'CBA Inputs'!AH$103-'CBA Inputs'!AH113,0)+IF(Scenario_Select="Scenario 4",'CBA Inputs'!AH$118-'CBA Inputs'!AH128,0)),0)*AI$55</f>
        <v>0</v>
      </c>
      <c r="AJ170" s="17">
        <f>IFERROR('Option inputs'!$F24*(IF(Scenario_Select="Scenario 1",'CBA Inputs'!AI$73-'CBA Inputs'!AI83,0)+IF(Scenario_Select="Scenario 2",'CBA Inputs'!AI$88-'CBA Inputs'!AI98,0)+IF(Scenario_Select="Scenario 3",'CBA Inputs'!AI$103-'CBA Inputs'!AI113,0)+IF(Scenario_Select="Scenario 4",'CBA Inputs'!AI$118-'CBA Inputs'!AI128,0)),0)*AJ$55</f>
        <v>0</v>
      </c>
    </row>
    <row r="171" spans="2:36" x14ac:dyDescent="0.35">
      <c r="B171" s="9">
        <f>'Option inputs'!B25</f>
        <v>11</v>
      </c>
      <c r="C171" s="26" t="str">
        <f>'Option inputs'!C25</f>
        <v>Option 4B</v>
      </c>
      <c r="D171" s="26"/>
      <c r="E171" s="12" t="s">
        <v>35</v>
      </c>
      <c r="F171" s="18">
        <f t="shared" si="43"/>
        <v>115149978.17547132</v>
      </c>
      <c r="G171" s="17">
        <f>IFERROR('Option inputs'!$F25*(IF(Scenario_Select="Scenario 1",'CBA Inputs'!F$73-'CBA Inputs'!F84,0)+IF(Scenario_Select="Scenario 2",'CBA Inputs'!F$88-'CBA Inputs'!F99,0)+IF(Scenario_Select="Scenario 3",'CBA Inputs'!F$103-'CBA Inputs'!F114,0)+IF(Scenario_Select="Scenario 4",'CBA Inputs'!F$118-'CBA Inputs'!F129,0)),0)*G$55</f>
        <v>0</v>
      </c>
      <c r="H171" s="17">
        <f>IFERROR('Option inputs'!$F25*(IF(Scenario_Select="Scenario 1",'CBA Inputs'!G$73-'CBA Inputs'!G84,0)+IF(Scenario_Select="Scenario 2",'CBA Inputs'!G$88-'CBA Inputs'!G99,0)+IF(Scenario_Select="Scenario 3",'CBA Inputs'!G$103-'CBA Inputs'!G114,0)+IF(Scenario_Select="Scenario 4",'CBA Inputs'!G$118-'CBA Inputs'!G129,0)),0)*H$55</f>
        <v>84</v>
      </c>
      <c r="I171" s="17">
        <f>IFERROR('Option inputs'!$F25*(IF(Scenario_Select="Scenario 1",'CBA Inputs'!H$73-'CBA Inputs'!H84,0)+IF(Scenario_Select="Scenario 2",'CBA Inputs'!H$88-'CBA Inputs'!H99,0)+IF(Scenario_Select="Scenario 3",'CBA Inputs'!H$103-'CBA Inputs'!H114,0)+IF(Scenario_Select="Scenario 4",'CBA Inputs'!H$118-'CBA Inputs'!H129,0)),0)*I$55</f>
        <v>120</v>
      </c>
      <c r="J171" s="17">
        <f>IFERROR('Option inputs'!$F25*(IF(Scenario_Select="Scenario 1",'CBA Inputs'!I$73-'CBA Inputs'!I84,0)+IF(Scenario_Select="Scenario 2",'CBA Inputs'!I$88-'CBA Inputs'!I99,0)+IF(Scenario_Select="Scenario 3",'CBA Inputs'!I$103-'CBA Inputs'!I114,0)+IF(Scenario_Select="Scenario 4",'CBA Inputs'!I$118-'CBA Inputs'!I129,0)),0)*J$55</f>
        <v>70</v>
      </c>
      <c r="K171" s="17">
        <f>IFERROR('Option inputs'!$F25*(IF(Scenario_Select="Scenario 1",'CBA Inputs'!J$73-'CBA Inputs'!J84,0)+IF(Scenario_Select="Scenario 2",'CBA Inputs'!J$88-'CBA Inputs'!J99,0)+IF(Scenario_Select="Scenario 3",'CBA Inputs'!J$103-'CBA Inputs'!J114,0)+IF(Scenario_Select="Scenario 4",'CBA Inputs'!J$118-'CBA Inputs'!J129,0)),0)*K$55</f>
        <v>-25307396</v>
      </c>
      <c r="L171" s="17">
        <f>IFERROR('Option inputs'!$F25*(IF(Scenario_Select="Scenario 1",'CBA Inputs'!K$73-'CBA Inputs'!K84,0)+IF(Scenario_Select="Scenario 2",'CBA Inputs'!K$88-'CBA Inputs'!K99,0)+IF(Scenario_Select="Scenario 3",'CBA Inputs'!K$103-'CBA Inputs'!K114,0)+IF(Scenario_Select="Scenario 4",'CBA Inputs'!K$118-'CBA Inputs'!K129,0)),0)*L$55</f>
        <v>98828679</v>
      </c>
      <c r="M171" s="17">
        <f>IFERROR('Option inputs'!$F25*(IF(Scenario_Select="Scenario 1",'CBA Inputs'!L$73-'CBA Inputs'!L84,0)+IF(Scenario_Select="Scenario 2",'CBA Inputs'!L$88-'CBA Inputs'!L99,0)+IF(Scenario_Select="Scenario 3",'CBA Inputs'!L$103-'CBA Inputs'!L114,0)+IF(Scenario_Select="Scenario 4",'CBA Inputs'!L$118-'CBA Inputs'!L129,0)),0)*M$55</f>
        <v>131</v>
      </c>
      <c r="N171" s="17">
        <f>IFERROR('Option inputs'!$F25*(IF(Scenario_Select="Scenario 1",'CBA Inputs'!M$73-'CBA Inputs'!M84,0)+IF(Scenario_Select="Scenario 2",'CBA Inputs'!M$88-'CBA Inputs'!M99,0)+IF(Scenario_Select="Scenario 3",'CBA Inputs'!M$103-'CBA Inputs'!M114,0)+IF(Scenario_Select="Scenario 4",'CBA Inputs'!M$118-'CBA Inputs'!M129,0)),0)*N$55</f>
        <v>19731822</v>
      </c>
      <c r="O171" s="17">
        <f>IFERROR('Option inputs'!$F25*(IF(Scenario_Select="Scenario 1",'CBA Inputs'!N$73-'CBA Inputs'!N84,0)+IF(Scenario_Select="Scenario 2",'CBA Inputs'!N$88-'CBA Inputs'!N99,0)+IF(Scenario_Select="Scenario 3",'CBA Inputs'!N$103-'CBA Inputs'!N114,0)+IF(Scenario_Select="Scenario 4",'CBA Inputs'!N$118-'CBA Inputs'!N129,0)),0)*O$55</f>
        <v>158</v>
      </c>
      <c r="P171" s="17">
        <f>IFERROR('Option inputs'!$F25*(IF(Scenario_Select="Scenario 1",'CBA Inputs'!O$73-'CBA Inputs'!O84,0)+IF(Scenario_Select="Scenario 2",'CBA Inputs'!O$88-'CBA Inputs'!O99,0)+IF(Scenario_Select="Scenario 3",'CBA Inputs'!O$103-'CBA Inputs'!O114,0)+IF(Scenario_Select="Scenario 4",'CBA Inputs'!O$118-'CBA Inputs'!O129,0)),0)*P$55</f>
        <v>42195661</v>
      </c>
      <c r="Q171" s="17">
        <f>IFERROR('Option inputs'!$F25*(IF(Scenario_Select="Scenario 1",'CBA Inputs'!P$73-'CBA Inputs'!P84,0)+IF(Scenario_Select="Scenario 2",'CBA Inputs'!P$88-'CBA Inputs'!P99,0)+IF(Scenario_Select="Scenario 3",'CBA Inputs'!P$103-'CBA Inputs'!P114,0)+IF(Scenario_Select="Scenario 4",'CBA Inputs'!P$118-'CBA Inputs'!P129,0)),0)*Q$55</f>
        <v>6185880</v>
      </c>
      <c r="R171" s="17">
        <f>IFERROR('Option inputs'!$F25*(IF(Scenario_Select="Scenario 1",'CBA Inputs'!Q$73-'CBA Inputs'!Q84,0)+IF(Scenario_Select="Scenario 2",'CBA Inputs'!Q$88-'CBA Inputs'!Q99,0)+IF(Scenario_Select="Scenario 3",'CBA Inputs'!Q$103-'CBA Inputs'!Q114,0)+IF(Scenario_Select="Scenario 4",'CBA Inputs'!Q$118-'CBA Inputs'!Q129,0)),0)*R$55</f>
        <v>178649</v>
      </c>
      <c r="S171" s="17">
        <f>IFERROR('Option inputs'!$F25*(IF(Scenario_Select="Scenario 1",'CBA Inputs'!R$73-'CBA Inputs'!R84,0)+IF(Scenario_Select="Scenario 2",'CBA Inputs'!R$88-'CBA Inputs'!R99,0)+IF(Scenario_Select="Scenario 3",'CBA Inputs'!R$103-'CBA Inputs'!R114,0)+IF(Scenario_Select="Scenario 4",'CBA Inputs'!R$118-'CBA Inputs'!R129,0)),0)*S$55</f>
        <v>8240988</v>
      </c>
      <c r="T171" s="17">
        <f>IFERROR('Option inputs'!$F25*(IF(Scenario_Select="Scenario 1",'CBA Inputs'!S$73-'CBA Inputs'!S84,0)+IF(Scenario_Select="Scenario 2",'CBA Inputs'!S$88-'CBA Inputs'!S99,0)+IF(Scenario_Select="Scenario 3",'CBA Inputs'!S$103-'CBA Inputs'!S114,0)+IF(Scenario_Select="Scenario 4",'CBA Inputs'!S$118-'CBA Inputs'!S129,0)),0)*T$55</f>
        <v>163</v>
      </c>
      <c r="U171" s="17">
        <f>IFERROR('Option inputs'!$F25*(IF(Scenario_Select="Scenario 1",'CBA Inputs'!T$73-'CBA Inputs'!T84,0)+IF(Scenario_Select="Scenario 2",'CBA Inputs'!T$88-'CBA Inputs'!T99,0)+IF(Scenario_Select="Scenario 3",'CBA Inputs'!T$103-'CBA Inputs'!T114,0)+IF(Scenario_Select="Scenario 4",'CBA Inputs'!T$118-'CBA Inputs'!T129,0)),0)*U$55</f>
        <v>6369450</v>
      </c>
      <c r="V171" s="17">
        <f>IFERROR('Option inputs'!$F25*(IF(Scenario_Select="Scenario 1",'CBA Inputs'!U$73-'CBA Inputs'!U84,0)+IF(Scenario_Select="Scenario 2",'CBA Inputs'!U$88-'CBA Inputs'!U99,0)+IF(Scenario_Select="Scenario 3",'CBA Inputs'!U$103-'CBA Inputs'!U114,0)+IF(Scenario_Select="Scenario 4",'CBA Inputs'!U$118-'CBA Inputs'!U129,0)),0)*V$55</f>
        <v>17274688</v>
      </c>
      <c r="W171" s="17">
        <f>IFERROR('Option inputs'!$F25*(IF(Scenario_Select="Scenario 1",'CBA Inputs'!V$73-'CBA Inputs'!V84,0)+IF(Scenario_Select="Scenario 2",'CBA Inputs'!V$88-'CBA Inputs'!V99,0)+IF(Scenario_Select="Scenario 3",'CBA Inputs'!V$103-'CBA Inputs'!V114,0)+IF(Scenario_Select="Scenario 4",'CBA Inputs'!V$118-'CBA Inputs'!V129,0)),0)*W$55</f>
        <v>1318491</v>
      </c>
      <c r="X171" s="17">
        <f>IFERROR('Option inputs'!$F25*(IF(Scenario_Select="Scenario 1",'CBA Inputs'!W$73-'CBA Inputs'!W84,0)+IF(Scenario_Select="Scenario 2",'CBA Inputs'!W$88-'CBA Inputs'!W99,0)+IF(Scenario_Select="Scenario 3",'CBA Inputs'!W$103-'CBA Inputs'!W114,0)+IF(Scenario_Select="Scenario 4",'CBA Inputs'!W$118-'CBA Inputs'!W129,0)),0)*X$55</f>
        <v>197</v>
      </c>
      <c r="Y171" s="17">
        <f>IFERROR('Option inputs'!$F25*(IF(Scenario_Select="Scenario 1",'CBA Inputs'!X$73-'CBA Inputs'!X84,0)+IF(Scenario_Select="Scenario 2",'CBA Inputs'!X$88-'CBA Inputs'!X99,0)+IF(Scenario_Select="Scenario 3",'CBA Inputs'!X$103-'CBA Inputs'!X114,0)+IF(Scenario_Select="Scenario 4",'CBA Inputs'!X$118-'CBA Inputs'!X129,0)),0)*Y$55</f>
        <v>8126072</v>
      </c>
      <c r="Z171" s="17">
        <f>IFERROR('Option inputs'!$F25*(IF(Scenario_Select="Scenario 1",'CBA Inputs'!Y$73-'CBA Inputs'!Y84,0)+IF(Scenario_Select="Scenario 2",'CBA Inputs'!Y$88-'CBA Inputs'!Y99,0)+IF(Scenario_Select="Scenario 3",'CBA Inputs'!Y$103-'CBA Inputs'!Y114,0)+IF(Scenario_Select="Scenario 4",'CBA Inputs'!Y$118-'CBA Inputs'!Y129,0)),0)*Z$55</f>
        <v>202</v>
      </c>
      <c r="AA171" s="17">
        <f>IFERROR('Option inputs'!$F25*(IF(Scenario_Select="Scenario 1",'CBA Inputs'!Z$73-'CBA Inputs'!Z84,0)+IF(Scenario_Select="Scenario 2",'CBA Inputs'!Z$88-'CBA Inputs'!Z99,0)+IF(Scenario_Select="Scenario 3",'CBA Inputs'!Z$103-'CBA Inputs'!Z114,0)+IF(Scenario_Select="Scenario 4",'CBA Inputs'!Z$118-'CBA Inputs'!Z129,0)),0)*AA$55</f>
        <v>203</v>
      </c>
      <c r="AB171" s="17">
        <f>IFERROR('Option inputs'!$F25*(IF(Scenario_Select="Scenario 1",'CBA Inputs'!AA$73-'CBA Inputs'!AA84,0)+IF(Scenario_Select="Scenario 2",'CBA Inputs'!AA$88-'CBA Inputs'!AA99,0)+IF(Scenario_Select="Scenario 3",'CBA Inputs'!AA$103-'CBA Inputs'!AA114,0)+IF(Scenario_Select="Scenario 4",'CBA Inputs'!AA$118-'CBA Inputs'!AA129,0)),0)*AB$55</f>
        <v>214</v>
      </c>
      <c r="AC171" s="17">
        <f>IFERROR('Option inputs'!$F25*(IF(Scenario_Select="Scenario 1",'CBA Inputs'!AB$73-'CBA Inputs'!AB84,0)+IF(Scenario_Select="Scenario 2",'CBA Inputs'!AB$88-'CBA Inputs'!AB99,0)+IF(Scenario_Select="Scenario 3",'CBA Inputs'!AB$103-'CBA Inputs'!AB114,0)+IF(Scenario_Select="Scenario 4",'CBA Inputs'!AB$118-'CBA Inputs'!AB129,0)),0)*AC$55</f>
        <v>213</v>
      </c>
      <c r="AD171" s="17">
        <f>IFERROR('Option inputs'!$F25*(IF(Scenario_Select="Scenario 1",'CBA Inputs'!AC$73-'CBA Inputs'!AC84,0)+IF(Scenario_Select="Scenario 2",'CBA Inputs'!AC$88-'CBA Inputs'!AC99,0)+IF(Scenario_Select="Scenario 3",'CBA Inputs'!AC$103-'CBA Inputs'!AC114,0)+IF(Scenario_Select="Scenario 4",'CBA Inputs'!AC$118-'CBA Inputs'!AC129,0)),0)*AD$55</f>
        <v>-107928</v>
      </c>
      <c r="AE171" s="17">
        <f>IFERROR('Option inputs'!$F25*(IF(Scenario_Select="Scenario 1",'CBA Inputs'!AD$73-'CBA Inputs'!AD84,0)+IF(Scenario_Select="Scenario 2",'CBA Inputs'!AD$88-'CBA Inputs'!AD99,0)+IF(Scenario_Select="Scenario 3",'CBA Inputs'!AD$103-'CBA Inputs'!AD114,0)+IF(Scenario_Select="Scenario 4",'CBA Inputs'!AD$118-'CBA Inputs'!AD129,0)),0)*AE$55</f>
        <v>5497840</v>
      </c>
      <c r="AF171" s="17">
        <f>IFERROR('Option inputs'!$F25*(IF(Scenario_Select="Scenario 1",'CBA Inputs'!AE$73-'CBA Inputs'!AE84,0)+IF(Scenario_Select="Scenario 2",'CBA Inputs'!AE$88-'CBA Inputs'!AE99,0)+IF(Scenario_Select="Scenario 3",'CBA Inputs'!AE$103-'CBA Inputs'!AE114,0)+IF(Scenario_Select="Scenario 4",'CBA Inputs'!AE$118-'CBA Inputs'!AE129,0)),0)*AF$55</f>
        <v>240</v>
      </c>
      <c r="AG171" s="17">
        <f>IFERROR('Option inputs'!$F25*(IF(Scenario_Select="Scenario 1",'CBA Inputs'!AF$73-'CBA Inputs'!AF84,0)+IF(Scenario_Select="Scenario 2",'CBA Inputs'!AF$88-'CBA Inputs'!AF99,0)+IF(Scenario_Select="Scenario 3",'CBA Inputs'!AF$103-'CBA Inputs'!AF114,0)+IF(Scenario_Select="Scenario 4",'CBA Inputs'!AF$118-'CBA Inputs'!AF129,0)),0)*AG$55</f>
        <v>0</v>
      </c>
      <c r="AH171" s="17">
        <f>IFERROR('Option inputs'!$F25*(IF(Scenario_Select="Scenario 1",'CBA Inputs'!AG$73-'CBA Inputs'!AG84,0)+IF(Scenario_Select="Scenario 2",'CBA Inputs'!AG$88-'CBA Inputs'!AG99,0)+IF(Scenario_Select="Scenario 3",'CBA Inputs'!AG$103-'CBA Inputs'!AG114,0)+IF(Scenario_Select="Scenario 4",'CBA Inputs'!AG$118-'CBA Inputs'!AG129,0)),0)*AH$55</f>
        <v>0</v>
      </c>
      <c r="AI171" s="17">
        <f>IFERROR('Option inputs'!$F25*(IF(Scenario_Select="Scenario 1",'CBA Inputs'!AH$73-'CBA Inputs'!AH84,0)+IF(Scenario_Select="Scenario 2",'CBA Inputs'!AH$88-'CBA Inputs'!AH99,0)+IF(Scenario_Select="Scenario 3",'CBA Inputs'!AH$103-'CBA Inputs'!AH114,0)+IF(Scenario_Select="Scenario 4",'CBA Inputs'!AH$118-'CBA Inputs'!AH129,0)),0)*AI$55</f>
        <v>0</v>
      </c>
      <c r="AJ171" s="17">
        <f>IFERROR('Option inputs'!$F25*(IF(Scenario_Select="Scenario 1",'CBA Inputs'!AI$73-'CBA Inputs'!AI84,0)+IF(Scenario_Select="Scenario 2",'CBA Inputs'!AI$88-'CBA Inputs'!AI99,0)+IF(Scenario_Select="Scenario 3",'CBA Inputs'!AI$103-'CBA Inputs'!AI114,0)+IF(Scenario_Select="Scenario 4",'CBA Inputs'!AI$118-'CBA Inputs'!AI129,0)),0)*AJ$55</f>
        <v>0</v>
      </c>
    </row>
    <row r="172" spans="2:36" x14ac:dyDescent="0.35">
      <c r="B172" s="9">
        <f>'Option inputs'!B26</f>
        <v>12</v>
      </c>
      <c r="C172" s="26" t="str">
        <f>'Option inputs'!C26</f>
        <v>Option 4C</v>
      </c>
      <c r="D172" s="26"/>
      <c r="E172" s="12" t="s">
        <v>35</v>
      </c>
      <c r="F172" s="18">
        <f t="shared" si="43"/>
        <v>139854366.20783654</v>
      </c>
      <c r="G172" s="17">
        <f>IFERROR('Option inputs'!$F26*(IF(Scenario_Select="Scenario 1",'CBA Inputs'!F$73-'CBA Inputs'!F85,0)+IF(Scenario_Select="Scenario 2",'CBA Inputs'!F$88-'CBA Inputs'!F100,0)+IF(Scenario_Select="Scenario 3",'CBA Inputs'!F$103-'CBA Inputs'!F115,0)+IF(Scenario_Select="Scenario 4",'CBA Inputs'!F$118-'CBA Inputs'!F130,0)),0)*G$55</f>
        <v>0</v>
      </c>
      <c r="H172" s="17">
        <f>IFERROR('Option inputs'!$F26*(IF(Scenario_Select="Scenario 1",'CBA Inputs'!G$73-'CBA Inputs'!G85,0)+IF(Scenario_Select="Scenario 2",'CBA Inputs'!G$88-'CBA Inputs'!G100,0)+IF(Scenario_Select="Scenario 3",'CBA Inputs'!G$103-'CBA Inputs'!G115,0)+IF(Scenario_Select="Scenario 4",'CBA Inputs'!G$118-'CBA Inputs'!G130,0)),0)*H$55</f>
        <v>28</v>
      </c>
      <c r="I172" s="17">
        <f>IFERROR('Option inputs'!$F26*(IF(Scenario_Select="Scenario 1",'CBA Inputs'!H$73-'CBA Inputs'!H85,0)+IF(Scenario_Select="Scenario 2",'CBA Inputs'!H$88-'CBA Inputs'!H100,0)+IF(Scenario_Select="Scenario 3",'CBA Inputs'!H$103-'CBA Inputs'!H115,0)+IF(Scenario_Select="Scenario 4",'CBA Inputs'!H$118-'CBA Inputs'!H130,0)),0)*I$55</f>
        <v>369</v>
      </c>
      <c r="J172" s="17">
        <f>IFERROR('Option inputs'!$F26*(IF(Scenario_Select="Scenario 1",'CBA Inputs'!I$73-'CBA Inputs'!I85,0)+IF(Scenario_Select="Scenario 2",'CBA Inputs'!I$88-'CBA Inputs'!I100,0)+IF(Scenario_Select="Scenario 3",'CBA Inputs'!I$103-'CBA Inputs'!I115,0)+IF(Scenario_Select="Scenario 4",'CBA Inputs'!I$118-'CBA Inputs'!I130,0)),0)*J$55</f>
        <v>242</v>
      </c>
      <c r="K172" s="17">
        <f>IFERROR('Option inputs'!$F26*(IF(Scenario_Select="Scenario 1",'CBA Inputs'!J$73-'CBA Inputs'!J85,0)+IF(Scenario_Select="Scenario 2",'CBA Inputs'!J$88-'CBA Inputs'!J100,0)+IF(Scenario_Select="Scenario 3",'CBA Inputs'!J$103-'CBA Inputs'!J115,0)+IF(Scenario_Select="Scenario 4",'CBA Inputs'!J$118-'CBA Inputs'!J130,0)),0)*K$55</f>
        <v>-44750161</v>
      </c>
      <c r="L172" s="17">
        <f>IFERROR('Option inputs'!$F26*(IF(Scenario_Select="Scenario 1",'CBA Inputs'!K$73-'CBA Inputs'!K85,0)+IF(Scenario_Select="Scenario 2",'CBA Inputs'!K$88-'CBA Inputs'!K100,0)+IF(Scenario_Select="Scenario 3",'CBA Inputs'!K$103-'CBA Inputs'!K115,0)+IF(Scenario_Select="Scenario 4",'CBA Inputs'!K$118-'CBA Inputs'!K130,0)),0)*L$55</f>
        <v>142285453</v>
      </c>
      <c r="M172" s="17">
        <f>IFERROR('Option inputs'!$F26*(IF(Scenario_Select="Scenario 1",'CBA Inputs'!L$73-'CBA Inputs'!L85,0)+IF(Scenario_Select="Scenario 2",'CBA Inputs'!L$88-'CBA Inputs'!L100,0)+IF(Scenario_Select="Scenario 3",'CBA Inputs'!L$103-'CBA Inputs'!L115,0)+IF(Scenario_Select="Scenario 4",'CBA Inputs'!L$118-'CBA Inputs'!L130,0)),0)*M$55</f>
        <v>502</v>
      </c>
      <c r="N172" s="17">
        <f>IFERROR('Option inputs'!$F26*(IF(Scenario_Select="Scenario 1",'CBA Inputs'!M$73-'CBA Inputs'!M85,0)+IF(Scenario_Select="Scenario 2",'CBA Inputs'!M$88-'CBA Inputs'!M100,0)+IF(Scenario_Select="Scenario 3",'CBA Inputs'!M$103-'CBA Inputs'!M115,0)+IF(Scenario_Select="Scenario 4",'CBA Inputs'!M$118-'CBA Inputs'!M130,0)),0)*N$55</f>
        <v>19732214</v>
      </c>
      <c r="O172" s="17">
        <f>IFERROR('Option inputs'!$F26*(IF(Scenario_Select="Scenario 1",'CBA Inputs'!N$73-'CBA Inputs'!N85,0)+IF(Scenario_Select="Scenario 2",'CBA Inputs'!N$88-'CBA Inputs'!N100,0)+IF(Scenario_Select="Scenario 3",'CBA Inputs'!N$103-'CBA Inputs'!N115,0)+IF(Scenario_Select="Scenario 4",'CBA Inputs'!N$118-'CBA Inputs'!N130,0)),0)*O$55</f>
        <v>569</v>
      </c>
      <c r="P172" s="17">
        <f>IFERROR('Option inputs'!$F26*(IF(Scenario_Select="Scenario 1",'CBA Inputs'!O$73-'CBA Inputs'!O85,0)+IF(Scenario_Select="Scenario 2",'CBA Inputs'!O$88-'CBA Inputs'!O100,0)+IF(Scenario_Select="Scenario 3",'CBA Inputs'!O$103-'CBA Inputs'!O115,0)+IF(Scenario_Select="Scenario 4",'CBA Inputs'!O$118-'CBA Inputs'!O130,0)),0)*P$55</f>
        <v>54821849</v>
      </c>
      <c r="Q172" s="17">
        <f>IFERROR('Option inputs'!$F26*(IF(Scenario_Select="Scenario 1",'CBA Inputs'!P$73-'CBA Inputs'!P85,0)+IF(Scenario_Select="Scenario 2",'CBA Inputs'!P$88-'CBA Inputs'!P100,0)+IF(Scenario_Select="Scenario 3",'CBA Inputs'!P$103-'CBA Inputs'!P115,0)+IF(Scenario_Select="Scenario 4",'CBA Inputs'!P$118-'CBA Inputs'!P130,0)),0)*Q$55</f>
        <v>6186330</v>
      </c>
      <c r="R172" s="17">
        <f>IFERROR('Option inputs'!$F26*(IF(Scenario_Select="Scenario 1",'CBA Inputs'!Q$73-'CBA Inputs'!Q85,0)+IF(Scenario_Select="Scenario 2",'CBA Inputs'!Q$88-'CBA Inputs'!Q100,0)+IF(Scenario_Select="Scenario 3",'CBA Inputs'!Q$103-'CBA Inputs'!Q115,0)+IF(Scenario_Select="Scenario 4",'CBA Inputs'!Q$118-'CBA Inputs'!Q130,0)),0)*R$55</f>
        <v>179110</v>
      </c>
      <c r="S172" s="17">
        <f>IFERROR('Option inputs'!$F26*(IF(Scenario_Select="Scenario 1",'CBA Inputs'!R$73-'CBA Inputs'!R85,0)+IF(Scenario_Select="Scenario 2",'CBA Inputs'!R$88-'CBA Inputs'!R100,0)+IF(Scenario_Select="Scenario 3",'CBA Inputs'!R$103-'CBA Inputs'!R115,0)+IF(Scenario_Select="Scenario 4",'CBA Inputs'!R$118-'CBA Inputs'!R130,0)),0)*S$55</f>
        <v>8241373</v>
      </c>
      <c r="T172" s="17">
        <f>IFERROR('Option inputs'!$F26*(IF(Scenario_Select="Scenario 1",'CBA Inputs'!S$73-'CBA Inputs'!S85,0)+IF(Scenario_Select="Scenario 2",'CBA Inputs'!S$88-'CBA Inputs'!S100,0)+IF(Scenario_Select="Scenario 3",'CBA Inputs'!S$103-'CBA Inputs'!S115,0)+IF(Scenario_Select="Scenario 4",'CBA Inputs'!S$118-'CBA Inputs'!S130,0)),0)*T$55</f>
        <v>669</v>
      </c>
      <c r="U172" s="17">
        <f>IFERROR('Option inputs'!$F26*(IF(Scenario_Select="Scenario 1",'CBA Inputs'!T$73-'CBA Inputs'!T85,0)+IF(Scenario_Select="Scenario 2",'CBA Inputs'!T$88-'CBA Inputs'!T100,0)+IF(Scenario_Select="Scenario 3",'CBA Inputs'!T$103-'CBA Inputs'!T115,0)+IF(Scenario_Select="Scenario 4",'CBA Inputs'!T$118-'CBA Inputs'!T130,0)),0)*U$55</f>
        <v>6369980</v>
      </c>
      <c r="V172" s="17">
        <f>IFERROR('Option inputs'!$F26*(IF(Scenario_Select="Scenario 1",'CBA Inputs'!U$73-'CBA Inputs'!U85,0)+IF(Scenario_Select="Scenario 2",'CBA Inputs'!U$88-'CBA Inputs'!U100,0)+IF(Scenario_Select="Scenario 3",'CBA Inputs'!U$103-'CBA Inputs'!U115,0)+IF(Scenario_Select="Scenario 4",'CBA Inputs'!U$118-'CBA Inputs'!U130,0)),0)*V$55</f>
        <v>17261874</v>
      </c>
      <c r="W172" s="17">
        <f>IFERROR('Option inputs'!$F26*(IF(Scenario_Select="Scenario 1",'CBA Inputs'!V$73-'CBA Inputs'!V85,0)+IF(Scenario_Select="Scenario 2",'CBA Inputs'!V$88-'CBA Inputs'!V100,0)+IF(Scenario_Select="Scenario 3",'CBA Inputs'!V$103-'CBA Inputs'!V115,0)+IF(Scenario_Select="Scenario 4",'CBA Inputs'!V$118-'CBA Inputs'!V130,0)),0)*W$55</f>
        <v>1319078</v>
      </c>
      <c r="X172" s="17">
        <f>IFERROR('Option inputs'!$F26*(IF(Scenario_Select="Scenario 1",'CBA Inputs'!W$73-'CBA Inputs'!W85,0)+IF(Scenario_Select="Scenario 2",'CBA Inputs'!W$88-'CBA Inputs'!W100,0)+IF(Scenario_Select="Scenario 3",'CBA Inputs'!W$103-'CBA Inputs'!W115,0)+IF(Scenario_Select="Scenario 4",'CBA Inputs'!W$118-'CBA Inputs'!W130,0)),0)*X$55</f>
        <v>812</v>
      </c>
      <c r="Y172" s="17">
        <f>IFERROR('Option inputs'!$F26*(IF(Scenario_Select="Scenario 1",'CBA Inputs'!X$73-'CBA Inputs'!X85,0)+IF(Scenario_Select="Scenario 2",'CBA Inputs'!X$88-'CBA Inputs'!X100,0)+IF(Scenario_Select="Scenario 3",'CBA Inputs'!X$103-'CBA Inputs'!X115,0)+IF(Scenario_Select="Scenario 4",'CBA Inputs'!X$118-'CBA Inputs'!X130,0)),0)*Y$55</f>
        <v>8126929</v>
      </c>
      <c r="Z172" s="17">
        <f>IFERROR('Option inputs'!$F26*(IF(Scenario_Select="Scenario 1",'CBA Inputs'!Y$73-'CBA Inputs'!Y85,0)+IF(Scenario_Select="Scenario 2",'CBA Inputs'!Y$88-'CBA Inputs'!Y100,0)+IF(Scenario_Select="Scenario 3",'CBA Inputs'!Y$103-'CBA Inputs'!Y115,0)+IF(Scenario_Select="Scenario 4",'CBA Inputs'!Y$118-'CBA Inputs'!Y130,0)),0)*Z$55</f>
        <v>872</v>
      </c>
      <c r="AA172" s="17">
        <f>IFERROR('Option inputs'!$F26*(IF(Scenario_Select="Scenario 1",'CBA Inputs'!Z$73-'CBA Inputs'!Z85,0)+IF(Scenario_Select="Scenario 2",'CBA Inputs'!Z$88-'CBA Inputs'!Z100,0)+IF(Scenario_Select="Scenario 3",'CBA Inputs'!Z$103-'CBA Inputs'!Z115,0)+IF(Scenario_Select="Scenario 4",'CBA Inputs'!Z$118-'CBA Inputs'!Z130,0)),0)*AA$55</f>
        <v>902</v>
      </c>
      <c r="AB172" s="17">
        <f>IFERROR('Option inputs'!$F26*(IF(Scenario_Select="Scenario 1",'CBA Inputs'!AA$73-'CBA Inputs'!AA85,0)+IF(Scenario_Select="Scenario 2",'CBA Inputs'!AA$88-'CBA Inputs'!AA100,0)+IF(Scenario_Select="Scenario 3",'CBA Inputs'!AA$103-'CBA Inputs'!AA115,0)+IF(Scenario_Select="Scenario 4",'CBA Inputs'!AA$118-'CBA Inputs'!AA130,0)),0)*AB$55</f>
        <v>961</v>
      </c>
      <c r="AC172" s="17">
        <f>IFERROR('Option inputs'!$F26*(IF(Scenario_Select="Scenario 1",'CBA Inputs'!AB$73-'CBA Inputs'!AB85,0)+IF(Scenario_Select="Scenario 2",'CBA Inputs'!AB$88-'CBA Inputs'!AB100,0)+IF(Scenario_Select="Scenario 3",'CBA Inputs'!AB$103-'CBA Inputs'!AB115,0)+IF(Scenario_Select="Scenario 4",'CBA Inputs'!AB$118-'CBA Inputs'!AB130,0)),0)*AC$55</f>
        <v>986</v>
      </c>
      <c r="AD172" s="17">
        <f>IFERROR('Option inputs'!$F26*(IF(Scenario_Select="Scenario 1",'CBA Inputs'!AC$73-'CBA Inputs'!AC85,0)+IF(Scenario_Select="Scenario 2",'CBA Inputs'!AC$88-'CBA Inputs'!AC100,0)+IF(Scenario_Select="Scenario 3",'CBA Inputs'!AC$103-'CBA Inputs'!AC115,0)+IF(Scenario_Select="Scenario 4",'CBA Inputs'!AC$118-'CBA Inputs'!AC130,0)),0)*AD$55</f>
        <v>-107486</v>
      </c>
      <c r="AE172" s="17">
        <f>IFERROR('Option inputs'!$F26*(IF(Scenario_Select="Scenario 1",'CBA Inputs'!AD$73-'CBA Inputs'!AD85,0)+IF(Scenario_Select="Scenario 2",'CBA Inputs'!AD$88-'CBA Inputs'!AD100,0)+IF(Scenario_Select="Scenario 3",'CBA Inputs'!AD$103-'CBA Inputs'!AD115,0)+IF(Scenario_Select="Scenario 4",'CBA Inputs'!AD$118-'CBA Inputs'!AD130,0)),0)*AE$55</f>
        <v>5498126</v>
      </c>
      <c r="AF172" s="17">
        <f>IFERROR('Option inputs'!$F26*(IF(Scenario_Select="Scenario 1",'CBA Inputs'!AE$73-'CBA Inputs'!AE85,0)+IF(Scenario_Select="Scenario 2",'CBA Inputs'!AE$88-'CBA Inputs'!AE100,0)+IF(Scenario_Select="Scenario 3",'CBA Inputs'!AE$103-'CBA Inputs'!AE115,0)+IF(Scenario_Select="Scenario 4",'CBA Inputs'!AE$118-'CBA Inputs'!AE130,0)),0)*AF$55</f>
        <v>1145</v>
      </c>
      <c r="AG172" s="17">
        <f>IFERROR('Option inputs'!$F26*(IF(Scenario_Select="Scenario 1",'CBA Inputs'!AF$73-'CBA Inputs'!AF85,0)+IF(Scenario_Select="Scenario 2",'CBA Inputs'!AF$88-'CBA Inputs'!AF100,0)+IF(Scenario_Select="Scenario 3",'CBA Inputs'!AF$103-'CBA Inputs'!AF115,0)+IF(Scenario_Select="Scenario 4",'CBA Inputs'!AF$118-'CBA Inputs'!AF130,0)),0)*AG$55</f>
        <v>0</v>
      </c>
      <c r="AH172" s="17">
        <f>IFERROR('Option inputs'!$F26*(IF(Scenario_Select="Scenario 1",'CBA Inputs'!AG$73-'CBA Inputs'!AG85,0)+IF(Scenario_Select="Scenario 2",'CBA Inputs'!AG$88-'CBA Inputs'!AG100,0)+IF(Scenario_Select="Scenario 3",'CBA Inputs'!AG$103-'CBA Inputs'!AG115,0)+IF(Scenario_Select="Scenario 4",'CBA Inputs'!AG$118-'CBA Inputs'!AG130,0)),0)*AH$55</f>
        <v>0</v>
      </c>
      <c r="AI172" s="17">
        <f>IFERROR('Option inputs'!$F26*(IF(Scenario_Select="Scenario 1",'CBA Inputs'!AH$73-'CBA Inputs'!AH85,0)+IF(Scenario_Select="Scenario 2",'CBA Inputs'!AH$88-'CBA Inputs'!AH100,0)+IF(Scenario_Select="Scenario 3",'CBA Inputs'!AH$103-'CBA Inputs'!AH115,0)+IF(Scenario_Select="Scenario 4",'CBA Inputs'!AH$118-'CBA Inputs'!AH130,0)),0)*AI$55</f>
        <v>0</v>
      </c>
      <c r="AJ172" s="17">
        <f>IFERROR('Option inputs'!$F26*(IF(Scenario_Select="Scenario 1",'CBA Inputs'!AI$73-'CBA Inputs'!AI85,0)+IF(Scenario_Select="Scenario 2",'CBA Inputs'!AI$88-'CBA Inputs'!AI100,0)+IF(Scenario_Select="Scenario 3",'CBA Inputs'!AI$103-'CBA Inputs'!AI115,0)+IF(Scenario_Select="Scenario 4",'CBA Inputs'!AI$118-'CBA Inputs'!AI130,0)),0)*AJ$55</f>
        <v>0</v>
      </c>
    </row>
    <row r="173" spans="2:36" x14ac:dyDescent="0.35">
      <c r="F173" s="134"/>
    </row>
    <row r="174" spans="2:36" x14ac:dyDescent="0.35">
      <c r="B174" s="5" t="str">
        <f>+'CBA Inputs'!B132</f>
        <v>Difference in timing of unrelated expenditure</v>
      </c>
      <c r="C174" s="28"/>
      <c r="D174" s="28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6" x14ac:dyDescent="0.35">
      <c r="B175" s="7" t="s">
        <v>14</v>
      </c>
      <c r="C175" s="10" t="s">
        <v>13</v>
      </c>
      <c r="D175" s="10"/>
      <c r="E175" s="8" t="s">
        <v>22</v>
      </c>
      <c r="F175" s="8" t="s">
        <v>37</v>
      </c>
      <c r="G175" s="13" t="str">
        <f>G$56</f>
        <v>FY 2019-20</v>
      </c>
      <c r="H175" s="13" t="str">
        <f t="shared" ref="H175:AJ175" si="44">H$56</f>
        <v>FY 2020-21</v>
      </c>
      <c r="I175" s="13" t="str">
        <f t="shared" si="44"/>
        <v>FY 2021-22</v>
      </c>
      <c r="J175" s="13" t="str">
        <f t="shared" si="44"/>
        <v>FY 2022-23</v>
      </c>
      <c r="K175" s="13" t="str">
        <f t="shared" si="44"/>
        <v>FY 2023-24</v>
      </c>
      <c r="L175" s="13" t="str">
        <f t="shared" si="44"/>
        <v>FY 2024-25</v>
      </c>
      <c r="M175" s="13" t="str">
        <f t="shared" si="44"/>
        <v>FY 2025-26</v>
      </c>
      <c r="N175" s="13" t="str">
        <f t="shared" si="44"/>
        <v>FY 2026-27</v>
      </c>
      <c r="O175" s="13" t="str">
        <f t="shared" si="44"/>
        <v>FY 2027-28</v>
      </c>
      <c r="P175" s="13" t="str">
        <f t="shared" si="44"/>
        <v>FY 2028-29</v>
      </c>
      <c r="Q175" s="13" t="str">
        <f t="shared" si="44"/>
        <v>FY 2029-30</v>
      </c>
      <c r="R175" s="13" t="str">
        <f t="shared" si="44"/>
        <v>FY 2030-31</v>
      </c>
      <c r="S175" s="13" t="str">
        <f t="shared" si="44"/>
        <v>FY 2031-32</v>
      </c>
      <c r="T175" s="13" t="str">
        <f t="shared" si="44"/>
        <v>FY 2032-33</v>
      </c>
      <c r="U175" s="13" t="str">
        <f t="shared" si="44"/>
        <v>FY 2033-34</v>
      </c>
      <c r="V175" s="13" t="str">
        <f t="shared" si="44"/>
        <v>FY 2034-35</v>
      </c>
      <c r="W175" s="13" t="str">
        <f t="shared" si="44"/>
        <v>FY 2035-36</v>
      </c>
      <c r="X175" s="13" t="str">
        <f t="shared" si="44"/>
        <v>FY 2036-37</v>
      </c>
      <c r="Y175" s="13" t="str">
        <f t="shared" si="44"/>
        <v>FY 2037-38</v>
      </c>
      <c r="Z175" s="13" t="str">
        <f t="shared" si="44"/>
        <v>FY 2038-39</v>
      </c>
      <c r="AA175" s="13" t="str">
        <f t="shared" si="44"/>
        <v>FY 2039-40</v>
      </c>
      <c r="AB175" s="13" t="str">
        <f t="shared" si="44"/>
        <v>FY 2040-41</v>
      </c>
      <c r="AC175" s="13" t="str">
        <f t="shared" si="44"/>
        <v>FY 2041-42</v>
      </c>
      <c r="AD175" s="13" t="str">
        <f t="shared" si="44"/>
        <v>FY 2042-43</v>
      </c>
      <c r="AE175" s="13" t="str">
        <f t="shared" si="44"/>
        <v>FY 2043-44</v>
      </c>
      <c r="AF175" s="13" t="str">
        <f t="shared" si="44"/>
        <v>FY 2044-45</v>
      </c>
      <c r="AG175" s="13" t="str">
        <f t="shared" si="44"/>
        <v>FY 2045-46</v>
      </c>
      <c r="AH175" s="13" t="str">
        <f t="shared" si="44"/>
        <v>FY 2046-47</v>
      </c>
      <c r="AI175" s="13" t="str">
        <f t="shared" si="44"/>
        <v>FY 2047-48</v>
      </c>
      <c r="AJ175" s="13" t="str">
        <f t="shared" si="44"/>
        <v>FY 2048-49</v>
      </c>
    </row>
    <row r="176" spans="2:36" x14ac:dyDescent="0.35">
      <c r="B176" s="9">
        <f>'Option inputs'!B15</f>
        <v>1</v>
      </c>
      <c r="C176" s="14" t="str">
        <f>'Option inputs'!C15</f>
        <v>Option 1A</v>
      </c>
      <c r="D176" s="26"/>
      <c r="E176" s="12" t="s">
        <v>35</v>
      </c>
      <c r="F176" s="18">
        <f t="shared" ref="F176:F187" si="45">NPV(DiscountRate_ACTIVE,G176:AJ176)/(1+DiscountRate_ACTIVE)^(FirstYear-BaseYear-1)</f>
        <v>-970490.68811830366</v>
      </c>
      <c r="G176" s="17">
        <f>IFERROR('Option inputs'!$F15*(IF(Scenario_Select="Scenario 1",'CBA Inputs'!F$135-'CBA Inputs'!F136,0)+IF(Scenario_Select="Scenario 2",'CBA Inputs'!F$150-'CBA Inputs'!F151,0)+IF(Scenario_Select="Scenario 3",'CBA Inputs'!F$165-'CBA Inputs'!F166,0)+IF(Scenario_Select="Scenario 4",'CBA Inputs'!F$180-'CBA Inputs'!F181,0)),0)*G$55</f>
        <v>0</v>
      </c>
      <c r="H176" s="17">
        <f>IFERROR('Option inputs'!$F15*(IF(Scenario_Select="Scenario 1",'CBA Inputs'!G$135-'CBA Inputs'!G136,0)+IF(Scenario_Select="Scenario 2",'CBA Inputs'!G$150-'CBA Inputs'!G151,0)+IF(Scenario_Select="Scenario 3",'CBA Inputs'!G$165-'CBA Inputs'!G166,0)+IF(Scenario_Select="Scenario 4",'CBA Inputs'!G$180-'CBA Inputs'!G181,0)),0)*H$55</f>
        <v>-267</v>
      </c>
      <c r="I176" s="17">
        <f>IFERROR('Option inputs'!$F15*(IF(Scenario_Select="Scenario 1",'CBA Inputs'!H$135-'CBA Inputs'!H136,0)+IF(Scenario_Select="Scenario 2",'CBA Inputs'!H$150-'CBA Inputs'!H151,0)+IF(Scenario_Select="Scenario 3",'CBA Inputs'!H$165-'CBA Inputs'!H166,0)+IF(Scenario_Select="Scenario 4",'CBA Inputs'!H$180-'CBA Inputs'!H181,0)),0)*I$55</f>
        <v>106</v>
      </c>
      <c r="J176" s="17">
        <f>IFERROR('Option inputs'!$F15*(IF(Scenario_Select="Scenario 1",'CBA Inputs'!I$135-'CBA Inputs'!I136,0)+IF(Scenario_Select="Scenario 2",'CBA Inputs'!I$150-'CBA Inputs'!I151,0)+IF(Scenario_Select="Scenario 3",'CBA Inputs'!I$165-'CBA Inputs'!I166,0)+IF(Scenario_Select="Scenario 4",'CBA Inputs'!I$180-'CBA Inputs'!I181,0)),0)*J$55</f>
        <v>-52</v>
      </c>
      <c r="K176" s="17">
        <f>IFERROR('Option inputs'!$F15*(IF(Scenario_Select="Scenario 1",'CBA Inputs'!J$135-'CBA Inputs'!J136,0)+IF(Scenario_Select="Scenario 2",'CBA Inputs'!J$150-'CBA Inputs'!J151,0)+IF(Scenario_Select="Scenario 3",'CBA Inputs'!J$165-'CBA Inputs'!J166,0)+IF(Scenario_Select="Scenario 4",'CBA Inputs'!J$180-'CBA Inputs'!J181,0)),0)*K$55</f>
        <v>123</v>
      </c>
      <c r="L176" s="17">
        <f>IFERROR('Option inputs'!$F15*(IF(Scenario_Select="Scenario 1",'CBA Inputs'!K$135-'CBA Inputs'!K136,0)+IF(Scenario_Select="Scenario 2",'CBA Inputs'!K$150-'CBA Inputs'!K151,0)+IF(Scenario_Select="Scenario 3",'CBA Inputs'!K$165-'CBA Inputs'!K166,0)+IF(Scenario_Select="Scenario 4",'CBA Inputs'!K$180-'CBA Inputs'!K181,0)),0)*L$55</f>
        <v>-37</v>
      </c>
      <c r="M176" s="17">
        <f>IFERROR('Option inputs'!$F15*(IF(Scenario_Select="Scenario 1",'CBA Inputs'!L$135-'CBA Inputs'!L136,0)+IF(Scenario_Select="Scenario 2",'CBA Inputs'!L$150-'CBA Inputs'!L151,0)+IF(Scenario_Select="Scenario 3",'CBA Inputs'!L$165-'CBA Inputs'!L166,0)+IF(Scenario_Select="Scenario 4",'CBA Inputs'!L$180-'CBA Inputs'!L181,0)),0)*M$55</f>
        <v>-65</v>
      </c>
      <c r="N176" s="17">
        <f>IFERROR('Option inputs'!$F15*(IF(Scenario_Select="Scenario 1",'CBA Inputs'!M$135-'CBA Inputs'!M136,0)+IF(Scenario_Select="Scenario 2",'CBA Inputs'!M$150-'CBA Inputs'!M151,0)+IF(Scenario_Select="Scenario 3",'CBA Inputs'!M$165-'CBA Inputs'!M166,0)+IF(Scenario_Select="Scenario 4",'CBA Inputs'!M$180-'CBA Inputs'!M181,0)),0)*N$55</f>
        <v>33</v>
      </c>
      <c r="O176" s="17">
        <f>IFERROR('Option inputs'!$F15*(IF(Scenario_Select="Scenario 1",'CBA Inputs'!N$135-'CBA Inputs'!N136,0)+IF(Scenario_Select="Scenario 2",'CBA Inputs'!N$150-'CBA Inputs'!N151,0)+IF(Scenario_Select="Scenario 3",'CBA Inputs'!N$165-'CBA Inputs'!N166,0)+IF(Scenario_Select="Scenario 4",'CBA Inputs'!N$180-'CBA Inputs'!N181,0)),0)*O$55</f>
        <v>-33</v>
      </c>
      <c r="P176" s="17">
        <f>IFERROR('Option inputs'!$F15*(IF(Scenario_Select="Scenario 1",'CBA Inputs'!O$135-'CBA Inputs'!O136,0)+IF(Scenario_Select="Scenario 2",'CBA Inputs'!O$150-'CBA Inputs'!O151,0)+IF(Scenario_Select="Scenario 3",'CBA Inputs'!O$165-'CBA Inputs'!O166,0)+IF(Scenario_Select="Scenario 4",'CBA Inputs'!O$180-'CBA Inputs'!O181,0)),0)*P$55</f>
        <v>-194</v>
      </c>
      <c r="Q176" s="17">
        <f>IFERROR('Option inputs'!$F15*(IF(Scenario_Select="Scenario 1",'CBA Inputs'!P$135-'CBA Inputs'!P136,0)+IF(Scenario_Select="Scenario 2",'CBA Inputs'!P$150-'CBA Inputs'!P151,0)+IF(Scenario_Select="Scenario 3",'CBA Inputs'!P$165-'CBA Inputs'!P166,0)+IF(Scenario_Select="Scenario 4",'CBA Inputs'!P$180-'CBA Inputs'!P181,0)),0)*Q$55</f>
        <v>96422149</v>
      </c>
      <c r="R176" s="17">
        <f>IFERROR('Option inputs'!$F15*(IF(Scenario_Select="Scenario 1",'CBA Inputs'!Q$135-'CBA Inputs'!Q136,0)+IF(Scenario_Select="Scenario 2",'CBA Inputs'!Q$150-'CBA Inputs'!Q151,0)+IF(Scenario_Select="Scenario 3",'CBA Inputs'!Q$165-'CBA Inputs'!Q166,0)+IF(Scenario_Select="Scenario 4",'CBA Inputs'!Q$180-'CBA Inputs'!Q181,0)),0)*R$55</f>
        <v>485</v>
      </c>
      <c r="S176" s="17">
        <f>IFERROR('Option inputs'!$F15*(IF(Scenario_Select="Scenario 1",'CBA Inputs'!R$135-'CBA Inputs'!R136,0)+IF(Scenario_Select="Scenario 2",'CBA Inputs'!R$150-'CBA Inputs'!R151,0)+IF(Scenario_Select="Scenario 3",'CBA Inputs'!R$165-'CBA Inputs'!R166,0)+IF(Scenario_Select="Scenario 4",'CBA Inputs'!R$180-'CBA Inputs'!R181,0)),0)*S$55</f>
        <v>-105034522</v>
      </c>
      <c r="T176" s="17">
        <f>IFERROR('Option inputs'!$F15*(IF(Scenario_Select="Scenario 1",'CBA Inputs'!S$135-'CBA Inputs'!S136,0)+IF(Scenario_Select="Scenario 2",'CBA Inputs'!S$150-'CBA Inputs'!S151,0)+IF(Scenario_Select="Scenario 3",'CBA Inputs'!S$165-'CBA Inputs'!S166,0)+IF(Scenario_Select="Scenario 4",'CBA Inputs'!S$180-'CBA Inputs'!S181,0)),0)*T$55</f>
        <v>-3715964</v>
      </c>
      <c r="U176" s="17">
        <f>IFERROR('Option inputs'!$F15*(IF(Scenario_Select="Scenario 1",'CBA Inputs'!T$135-'CBA Inputs'!T136,0)+IF(Scenario_Select="Scenario 2",'CBA Inputs'!T$150-'CBA Inputs'!T151,0)+IF(Scenario_Select="Scenario 3",'CBA Inputs'!T$165-'CBA Inputs'!T166,0)+IF(Scenario_Select="Scenario 4",'CBA Inputs'!T$180-'CBA Inputs'!T181,0)),0)*U$55</f>
        <v>10524520</v>
      </c>
      <c r="V176" s="17">
        <f>IFERROR('Option inputs'!$F15*(IF(Scenario_Select="Scenario 1",'CBA Inputs'!U$135-'CBA Inputs'!U136,0)+IF(Scenario_Select="Scenario 2",'CBA Inputs'!U$150-'CBA Inputs'!U151,0)+IF(Scenario_Select="Scenario 3",'CBA Inputs'!U$165-'CBA Inputs'!U166,0)+IF(Scenario_Select="Scenario 4",'CBA Inputs'!U$180-'CBA Inputs'!U181,0)),0)*V$55</f>
        <v>7236836</v>
      </c>
      <c r="W176" s="17">
        <f>IFERROR('Option inputs'!$F15*(IF(Scenario_Select="Scenario 1",'CBA Inputs'!V$135-'CBA Inputs'!V136,0)+IF(Scenario_Select="Scenario 2",'CBA Inputs'!V$150-'CBA Inputs'!V151,0)+IF(Scenario_Select="Scenario 3",'CBA Inputs'!V$165-'CBA Inputs'!V166,0)+IF(Scenario_Select="Scenario 4",'CBA Inputs'!V$180-'CBA Inputs'!V181,0)),0)*W$55</f>
        <v>-14499363</v>
      </c>
      <c r="X176" s="17">
        <f>IFERROR('Option inputs'!$F15*(IF(Scenario_Select="Scenario 1",'CBA Inputs'!W$135-'CBA Inputs'!W136,0)+IF(Scenario_Select="Scenario 2",'CBA Inputs'!W$150-'CBA Inputs'!W151,0)+IF(Scenario_Select="Scenario 3",'CBA Inputs'!W$165-'CBA Inputs'!W166,0)+IF(Scenario_Select="Scenario 4",'CBA Inputs'!W$180-'CBA Inputs'!W181,0)),0)*X$55</f>
        <v>-901149</v>
      </c>
      <c r="Y176" s="17">
        <f>IFERROR('Option inputs'!$F15*(IF(Scenario_Select="Scenario 1",'CBA Inputs'!X$135-'CBA Inputs'!X136,0)+IF(Scenario_Select="Scenario 2",'CBA Inputs'!X$150-'CBA Inputs'!X151,0)+IF(Scenario_Select="Scenario 3",'CBA Inputs'!X$165-'CBA Inputs'!X166,0)+IF(Scenario_Select="Scenario 4",'CBA Inputs'!X$180-'CBA Inputs'!X181,0)),0)*Y$55</f>
        <v>-8439041</v>
      </c>
      <c r="Z176" s="17">
        <f>IFERROR('Option inputs'!$F15*(IF(Scenario_Select="Scenario 1",'CBA Inputs'!Y$135-'CBA Inputs'!Y136,0)+IF(Scenario_Select="Scenario 2",'CBA Inputs'!Y$150-'CBA Inputs'!Y151,0)+IF(Scenario_Select="Scenario 3",'CBA Inputs'!Y$165-'CBA Inputs'!Y166,0)+IF(Scenario_Select="Scenario 4",'CBA Inputs'!Y$180-'CBA Inputs'!Y181,0)),0)*Z$55</f>
        <v>2476661</v>
      </c>
      <c r="AA176" s="17">
        <f>IFERROR('Option inputs'!$F15*(IF(Scenario_Select="Scenario 1",'CBA Inputs'!Z$135-'CBA Inputs'!Z136,0)+IF(Scenario_Select="Scenario 2",'CBA Inputs'!Z$150-'CBA Inputs'!Z151,0)+IF(Scenario_Select="Scenario 3",'CBA Inputs'!Z$165-'CBA Inputs'!Z166,0)+IF(Scenario_Select="Scenario 4",'CBA Inputs'!Z$180-'CBA Inputs'!Z181,0)),0)*AA$55</f>
        <v>-333882</v>
      </c>
      <c r="AB176" s="17">
        <f>IFERROR('Option inputs'!$F15*(IF(Scenario_Select="Scenario 1",'CBA Inputs'!AA$135-'CBA Inputs'!AA136,0)+IF(Scenario_Select="Scenario 2",'CBA Inputs'!AA$150-'CBA Inputs'!AA151,0)+IF(Scenario_Select="Scenario 3",'CBA Inputs'!AA$165-'CBA Inputs'!AA166,0)+IF(Scenario_Select="Scenario 4",'CBA Inputs'!AA$180-'CBA Inputs'!AA181,0)),0)*AB$55</f>
        <v>-37</v>
      </c>
      <c r="AC176" s="17">
        <f>IFERROR('Option inputs'!$F15*(IF(Scenario_Select="Scenario 1",'CBA Inputs'!AB$135-'CBA Inputs'!AB136,0)+IF(Scenario_Select="Scenario 2",'CBA Inputs'!AB$150-'CBA Inputs'!AB151,0)+IF(Scenario_Select="Scenario 3",'CBA Inputs'!AB$165-'CBA Inputs'!AB166,0)+IF(Scenario_Select="Scenario 4",'CBA Inputs'!AB$180-'CBA Inputs'!AB181,0)),0)*AC$55</f>
        <v>-1614209</v>
      </c>
      <c r="AD176" s="17">
        <f>IFERROR('Option inputs'!$F15*(IF(Scenario_Select="Scenario 1",'CBA Inputs'!AC$135-'CBA Inputs'!AC136,0)+IF(Scenario_Select="Scenario 2",'CBA Inputs'!AC$150-'CBA Inputs'!AC151,0)+IF(Scenario_Select="Scenario 3",'CBA Inputs'!AC$165-'CBA Inputs'!AC166,0)+IF(Scenario_Select="Scenario 4",'CBA Inputs'!AC$180-'CBA Inputs'!AC181,0)),0)*AD$55</f>
        <v>243657</v>
      </c>
      <c r="AE176" s="17">
        <f>IFERROR('Option inputs'!$F15*(IF(Scenario_Select="Scenario 1",'CBA Inputs'!AD$135-'CBA Inputs'!AD136,0)+IF(Scenario_Select="Scenario 2",'CBA Inputs'!AD$150-'CBA Inputs'!AD151,0)+IF(Scenario_Select="Scenario 3",'CBA Inputs'!AD$165-'CBA Inputs'!AD166,0)+IF(Scenario_Select="Scenario 4",'CBA Inputs'!AD$180-'CBA Inputs'!AD181,0)),0)*AE$55</f>
        <v>-773184</v>
      </c>
      <c r="AF176" s="17">
        <f>IFERROR('Option inputs'!$F15*(IF(Scenario_Select="Scenario 1",'CBA Inputs'!AE$135-'CBA Inputs'!AE136,0)+IF(Scenario_Select="Scenario 2",'CBA Inputs'!AE$150-'CBA Inputs'!AE151,0)+IF(Scenario_Select="Scenario 3",'CBA Inputs'!AE$165-'CBA Inputs'!AE166,0)+IF(Scenario_Select="Scenario 4",'CBA Inputs'!AE$180-'CBA Inputs'!AE181,0)),0)*AF$55</f>
        <v>1915057</v>
      </c>
      <c r="AG176" s="17">
        <f>IFERROR('Option inputs'!$F15*(IF(Scenario_Select="Scenario 1",'CBA Inputs'!AF$135-'CBA Inputs'!AF136,0)+IF(Scenario_Select="Scenario 2",'CBA Inputs'!AF$150-'CBA Inputs'!AF151,0)+IF(Scenario_Select="Scenario 3",'CBA Inputs'!AF$165-'CBA Inputs'!AF166,0)+IF(Scenario_Select="Scenario 4",'CBA Inputs'!AF$180-'CBA Inputs'!AF181,0)),0)*AG$55</f>
        <v>0</v>
      </c>
      <c r="AH176" s="17">
        <f>IFERROR('Option inputs'!$F15*(IF(Scenario_Select="Scenario 1",'CBA Inputs'!AG$135-'CBA Inputs'!AG136,0)+IF(Scenario_Select="Scenario 2",'CBA Inputs'!AG$150-'CBA Inputs'!AG151,0)+IF(Scenario_Select="Scenario 3",'CBA Inputs'!AG$165-'CBA Inputs'!AG166,0)+IF(Scenario_Select="Scenario 4",'CBA Inputs'!AG$180-'CBA Inputs'!AG181,0)),0)*AH$55</f>
        <v>0</v>
      </c>
      <c r="AI176" s="17">
        <f>IFERROR('Option inputs'!$F15*(IF(Scenario_Select="Scenario 1",'CBA Inputs'!AH$135-'CBA Inputs'!AH136,0)+IF(Scenario_Select="Scenario 2",'CBA Inputs'!AH$150-'CBA Inputs'!AH151,0)+IF(Scenario_Select="Scenario 3",'CBA Inputs'!AH$165-'CBA Inputs'!AH166,0)+IF(Scenario_Select="Scenario 4",'CBA Inputs'!AH$180-'CBA Inputs'!AH181,0)),0)*AI$55</f>
        <v>0</v>
      </c>
      <c r="AJ176" s="17">
        <f>IFERROR('Option inputs'!$F15*(IF(Scenario_Select="Scenario 1",'CBA Inputs'!AI$135-'CBA Inputs'!AI136,0)+IF(Scenario_Select="Scenario 2",'CBA Inputs'!AI$150-'CBA Inputs'!AI151,0)+IF(Scenario_Select="Scenario 3",'CBA Inputs'!AI$165-'CBA Inputs'!AI166,0)+IF(Scenario_Select="Scenario 4",'CBA Inputs'!AI$180-'CBA Inputs'!AI181,0)),0)*AJ$55</f>
        <v>0</v>
      </c>
    </row>
    <row r="177" spans="2:36" x14ac:dyDescent="0.35">
      <c r="B177" s="9">
        <f>'Option inputs'!B16</f>
        <v>2</v>
      </c>
      <c r="C177" s="14" t="str">
        <f>'Option inputs'!C16</f>
        <v>Option 1B</v>
      </c>
      <c r="D177" s="26"/>
      <c r="E177" s="12" t="s">
        <v>35</v>
      </c>
      <c r="F177" s="18">
        <f t="shared" si="45"/>
        <v>9894057.9336883239</v>
      </c>
      <c r="G177" s="17">
        <f>IFERROR('Option inputs'!$F16*(IF(Scenario_Select="Scenario 1",'CBA Inputs'!F$135-'CBA Inputs'!F137,0)+IF(Scenario_Select="Scenario 2",'CBA Inputs'!F$150-'CBA Inputs'!F152,0)+IF(Scenario_Select="Scenario 3",'CBA Inputs'!F$165-'CBA Inputs'!F167,0)+IF(Scenario_Select="Scenario 4",'CBA Inputs'!F$180-'CBA Inputs'!F182,0)),0)*G$55</f>
        <v>0</v>
      </c>
      <c r="H177" s="17">
        <f>IFERROR('Option inputs'!$F16*(IF(Scenario_Select="Scenario 1",'CBA Inputs'!G$135-'CBA Inputs'!G137,0)+IF(Scenario_Select="Scenario 2",'CBA Inputs'!G$150-'CBA Inputs'!G152,0)+IF(Scenario_Select="Scenario 3",'CBA Inputs'!G$165-'CBA Inputs'!G167,0)+IF(Scenario_Select="Scenario 4",'CBA Inputs'!G$180-'CBA Inputs'!G182,0)),0)*H$55</f>
        <v>1702</v>
      </c>
      <c r="I177" s="17">
        <f>IFERROR('Option inputs'!$F16*(IF(Scenario_Select="Scenario 1",'CBA Inputs'!H$135-'CBA Inputs'!H137,0)+IF(Scenario_Select="Scenario 2",'CBA Inputs'!H$150-'CBA Inputs'!H152,0)+IF(Scenario_Select="Scenario 3",'CBA Inputs'!H$165-'CBA Inputs'!H167,0)+IF(Scenario_Select="Scenario 4",'CBA Inputs'!H$180-'CBA Inputs'!H182,0)),0)*I$55</f>
        <v>238</v>
      </c>
      <c r="J177" s="17">
        <f>IFERROR('Option inputs'!$F16*(IF(Scenario_Select="Scenario 1",'CBA Inputs'!I$135-'CBA Inputs'!I137,0)+IF(Scenario_Select="Scenario 2",'CBA Inputs'!I$150-'CBA Inputs'!I152,0)+IF(Scenario_Select="Scenario 3",'CBA Inputs'!I$165-'CBA Inputs'!I167,0)+IF(Scenario_Select="Scenario 4",'CBA Inputs'!I$180-'CBA Inputs'!I182,0)),0)*J$55</f>
        <v>69</v>
      </c>
      <c r="K177" s="17">
        <f>IFERROR('Option inputs'!$F16*(IF(Scenario_Select="Scenario 1",'CBA Inputs'!J$135-'CBA Inputs'!J137,0)+IF(Scenario_Select="Scenario 2",'CBA Inputs'!J$150-'CBA Inputs'!J152,0)+IF(Scenario_Select="Scenario 3",'CBA Inputs'!J$165-'CBA Inputs'!J167,0)+IF(Scenario_Select="Scenario 4",'CBA Inputs'!J$180-'CBA Inputs'!J182,0)),0)*K$55</f>
        <v>546</v>
      </c>
      <c r="L177" s="17">
        <f>IFERROR('Option inputs'!$F16*(IF(Scenario_Select="Scenario 1",'CBA Inputs'!K$135-'CBA Inputs'!K137,0)+IF(Scenario_Select="Scenario 2",'CBA Inputs'!K$150-'CBA Inputs'!K152,0)+IF(Scenario_Select="Scenario 3",'CBA Inputs'!K$165-'CBA Inputs'!K167,0)+IF(Scenario_Select="Scenario 4",'CBA Inputs'!K$180-'CBA Inputs'!K182,0)),0)*L$55</f>
        <v>427</v>
      </c>
      <c r="M177" s="17">
        <f>IFERROR('Option inputs'!$F16*(IF(Scenario_Select="Scenario 1",'CBA Inputs'!L$135-'CBA Inputs'!L137,0)+IF(Scenario_Select="Scenario 2",'CBA Inputs'!L$150-'CBA Inputs'!L152,0)+IF(Scenario_Select="Scenario 3",'CBA Inputs'!L$165-'CBA Inputs'!L167,0)+IF(Scenario_Select="Scenario 4",'CBA Inputs'!L$180-'CBA Inputs'!L182,0)),0)*M$55</f>
        <v>309</v>
      </c>
      <c r="N177" s="17">
        <f>IFERROR('Option inputs'!$F16*(IF(Scenario_Select="Scenario 1",'CBA Inputs'!M$135-'CBA Inputs'!M137,0)+IF(Scenario_Select="Scenario 2",'CBA Inputs'!M$150-'CBA Inputs'!M152,0)+IF(Scenario_Select="Scenario 3",'CBA Inputs'!M$165-'CBA Inputs'!M167,0)+IF(Scenario_Select="Scenario 4",'CBA Inputs'!M$180-'CBA Inputs'!M182,0)),0)*N$55</f>
        <v>430</v>
      </c>
      <c r="O177" s="17">
        <f>IFERROR('Option inputs'!$F16*(IF(Scenario_Select="Scenario 1",'CBA Inputs'!N$135-'CBA Inputs'!N137,0)+IF(Scenario_Select="Scenario 2",'CBA Inputs'!N$150-'CBA Inputs'!N152,0)+IF(Scenario_Select="Scenario 3",'CBA Inputs'!N$165-'CBA Inputs'!N167,0)+IF(Scenario_Select="Scenario 4",'CBA Inputs'!N$180-'CBA Inputs'!N182,0)),0)*O$55</f>
        <v>195</v>
      </c>
      <c r="P177" s="17">
        <f>IFERROR('Option inputs'!$F16*(IF(Scenario_Select="Scenario 1",'CBA Inputs'!O$135-'CBA Inputs'!O137,0)+IF(Scenario_Select="Scenario 2",'CBA Inputs'!O$150-'CBA Inputs'!O152,0)+IF(Scenario_Select="Scenario 3",'CBA Inputs'!O$165-'CBA Inputs'!O167,0)+IF(Scenario_Select="Scenario 4",'CBA Inputs'!O$180-'CBA Inputs'!O182,0)),0)*P$55</f>
        <v>505</v>
      </c>
      <c r="Q177" s="17">
        <f>IFERROR('Option inputs'!$F16*(IF(Scenario_Select="Scenario 1",'CBA Inputs'!P$135-'CBA Inputs'!P137,0)+IF(Scenario_Select="Scenario 2",'CBA Inputs'!P$150-'CBA Inputs'!P152,0)+IF(Scenario_Select="Scenario 3",'CBA Inputs'!P$165-'CBA Inputs'!P167,0)+IF(Scenario_Select="Scenario 4",'CBA Inputs'!P$180-'CBA Inputs'!P182,0)),0)*Q$55</f>
        <v>215393873</v>
      </c>
      <c r="R177" s="17">
        <f>IFERROR('Option inputs'!$F16*(IF(Scenario_Select="Scenario 1",'CBA Inputs'!Q$135-'CBA Inputs'!Q137,0)+IF(Scenario_Select="Scenario 2",'CBA Inputs'!Q$150-'CBA Inputs'!Q152,0)+IF(Scenario_Select="Scenario 3",'CBA Inputs'!Q$165-'CBA Inputs'!Q167,0)+IF(Scenario_Select="Scenario 4",'CBA Inputs'!Q$180-'CBA Inputs'!Q182,0)),0)*R$55</f>
        <v>-118979649</v>
      </c>
      <c r="S177" s="17">
        <f>IFERROR('Option inputs'!$F16*(IF(Scenario_Select="Scenario 1",'CBA Inputs'!R$135-'CBA Inputs'!R137,0)+IF(Scenario_Select="Scenario 2",'CBA Inputs'!R$150-'CBA Inputs'!R152,0)+IF(Scenario_Select="Scenario 3",'CBA Inputs'!R$165-'CBA Inputs'!R167,0)+IF(Scenario_Select="Scenario 4",'CBA Inputs'!R$180-'CBA Inputs'!R182,0)),0)*S$55</f>
        <v>-50516411</v>
      </c>
      <c r="T177" s="17">
        <f>IFERROR('Option inputs'!$F16*(IF(Scenario_Select="Scenario 1",'CBA Inputs'!S$135-'CBA Inputs'!S137,0)+IF(Scenario_Select="Scenario 2",'CBA Inputs'!S$150-'CBA Inputs'!S152,0)+IF(Scenario_Select="Scenario 3",'CBA Inputs'!S$165-'CBA Inputs'!S167,0)+IF(Scenario_Select="Scenario 4",'CBA Inputs'!S$180-'CBA Inputs'!S182,0)),0)*T$55</f>
        <v>-18717495</v>
      </c>
      <c r="U177" s="17">
        <f>IFERROR('Option inputs'!$F16*(IF(Scenario_Select="Scenario 1",'CBA Inputs'!T$135-'CBA Inputs'!T137,0)+IF(Scenario_Select="Scenario 2",'CBA Inputs'!T$150-'CBA Inputs'!T152,0)+IF(Scenario_Select="Scenario 3",'CBA Inputs'!T$165-'CBA Inputs'!T167,0)+IF(Scenario_Select="Scenario 4",'CBA Inputs'!T$180-'CBA Inputs'!T182,0)),0)*U$55</f>
        <v>-619097</v>
      </c>
      <c r="V177" s="17">
        <f>IFERROR('Option inputs'!$F16*(IF(Scenario_Select="Scenario 1",'CBA Inputs'!U$135-'CBA Inputs'!U137,0)+IF(Scenario_Select="Scenario 2",'CBA Inputs'!U$150-'CBA Inputs'!U152,0)+IF(Scenario_Select="Scenario 3",'CBA Inputs'!U$165-'CBA Inputs'!U167,0)+IF(Scenario_Select="Scenario 4",'CBA Inputs'!U$180-'CBA Inputs'!U182,0)),0)*V$55</f>
        <v>21349728</v>
      </c>
      <c r="W177" s="17">
        <f>IFERROR('Option inputs'!$F16*(IF(Scenario_Select="Scenario 1",'CBA Inputs'!V$135-'CBA Inputs'!V137,0)+IF(Scenario_Select="Scenario 2",'CBA Inputs'!V$150-'CBA Inputs'!V152,0)+IF(Scenario_Select="Scenario 3",'CBA Inputs'!V$165-'CBA Inputs'!V167,0)+IF(Scenario_Select="Scenario 4",'CBA Inputs'!V$180-'CBA Inputs'!V182,0)),0)*W$55</f>
        <v>-36055915</v>
      </c>
      <c r="X177" s="17">
        <f>IFERROR('Option inputs'!$F16*(IF(Scenario_Select="Scenario 1",'CBA Inputs'!W$135-'CBA Inputs'!W137,0)+IF(Scenario_Select="Scenario 2",'CBA Inputs'!W$150-'CBA Inputs'!W152,0)+IF(Scenario_Select="Scenario 3",'CBA Inputs'!W$165-'CBA Inputs'!W167,0)+IF(Scenario_Select="Scenario 4",'CBA Inputs'!W$180-'CBA Inputs'!W182,0)),0)*X$55</f>
        <v>9877736</v>
      </c>
      <c r="Y177" s="17">
        <f>IFERROR('Option inputs'!$F16*(IF(Scenario_Select="Scenario 1",'CBA Inputs'!X$135-'CBA Inputs'!X137,0)+IF(Scenario_Select="Scenario 2",'CBA Inputs'!X$150-'CBA Inputs'!X152,0)+IF(Scenario_Select="Scenario 3",'CBA Inputs'!X$165-'CBA Inputs'!X167,0)+IF(Scenario_Select="Scenario 4",'CBA Inputs'!X$180-'CBA Inputs'!X182,0)),0)*Y$55</f>
        <v>-33465403</v>
      </c>
      <c r="Z177" s="17">
        <f>IFERROR('Option inputs'!$F16*(IF(Scenario_Select="Scenario 1",'CBA Inputs'!Y$135-'CBA Inputs'!Y137,0)+IF(Scenario_Select="Scenario 2",'CBA Inputs'!Y$150-'CBA Inputs'!Y152,0)+IF(Scenario_Select="Scenario 3",'CBA Inputs'!Y$165-'CBA Inputs'!Y167,0)+IF(Scenario_Select="Scenario 4",'CBA Inputs'!Y$180-'CBA Inputs'!Y182,0)),0)*Z$55</f>
        <v>5742853</v>
      </c>
      <c r="AA177" s="17">
        <f>IFERROR('Option inputs'!$F16*(IF(Scenario_Select="Scenario 1",'CBA Inputs'!Z$135-'CBA Inputs'!Z137,0)+IF(Scenario_Select="Scenario 2",'CBA Inputs'!Z$150-'CBA Inputs'!Z152,0)+IF(Scenario_Select="Scenario 3",'CBA Inputs'!Z$165-'CBA Inputs'!Z167,0)+IF(Scenario_Select="Scenario 4",'CBA Inputs'!Z$180-'CBA Inputs'!Z182,0)),0)*AA$55</f>
        <v>-1934544</v>
      </c>
      <c r="AB177" s="17">
        <f>IFERROR('Option inputs'!$F16*(IF(Scenario_Select="Scenario 1",'CBA Inputs'!AA$135-'CBA Inputs'!AA137,0)+IF(Scenario_Select="Scenario 2",'CBA Inputs'!AA$150-'CBA Inputs'!AA152,0)+IF(Scenario_Select="Scenario 3",'CBA Inputs'!AA$165-'CBA Inputs'!AA167,0)+IF(Scenario_Select="Scenario 4",'CBA Inputs'!AA$180-'CBA Inputs'!AA182,0)),0)*AB$55</f>
        <v>10</v>
      </c>
      <c r="AC177" s="17">
        <f>IFERROR('Option inputs'!$F16*(IF(Scenario_Select="Scenario 1",'CBA Inputs'!AB$135-'CBA Inputs'!AB137,0)+IF(Scenario_Select="Scenario 2",'CBA Inputs'!AB$150-'CBA Inputs'!AB152,0)+IF(Scenario_Select="Scenario 3",'CBA Inputs'!AB$165-'CBA Inputs'!AB167,0)+IF(Scenario_Select="Scenario 4",'CBA Inputs'!AB$180-'CBA Inputs'!AB182,0)),0)*AC$55</f>
        <v>-6006367</v>
      </c>
      <c r="AD177" s="17">
        <f>IFERROR('Option inputs'!$F16*(IF(Scenario_Select="Scenario 1",'CBA Inputs'!AC$135-'CBA Inputs'!AC137,0)+IF(Scenario_Select="Scenario 2",'CBA Inputs'!AC$150-'CBA Inputs'!AC152,0)+IF(Scenario_Select="Scenario 3",'CBA Inputs'!AC$165-'CBA Inputs'!AC167,0)+IF(Scenario_Select="Scenario 4",'CBA Inputs'!AC$180-'CBA Inputs'!AC182,0)),0)*AD$55</f>
        <v>1721028</v>
      </c>
      <c r="AE177" s="17">
        <f>IFERROR('Option inputs'!$F16*(IF(Scenario_Select="Scenario 1",'CBA Inputs'!AD$135-'CBA Inputs'!AD137,0)+IF(Scenario_Select="Scenario 2",'CBA Inputs'!AD$150-'CBA Inputs'!AD152,0)+IF(Scenario_Select="Scenario 3",'CBA Inputs'!AD$165-'CBA Inputs'!AD167,0)+IF(Scenario_Select="Scenario 4",'CBA Inputs'!AD$180-'CBA Inputs'!AD182,0)),0)*AE$55</f>
        <v>-644224</v>
      </c>
      <c r="AF177" s="17">
        <f>IFERROR('Option inputs'!$F16*(IF(Scenario_Select="Scenario 1",'CBA Inputs'!AE$135-'CBA Inputs'!AE137,0)+IF(Scenario_Select="Scenario 2",'CBA Inputs'!AE$150-'CBA Inputs'!AE152,0)+IF(Scenario_Select="Scenario 3",'CBA Inputs'!AE$165-'CBA Inputs'!AE167,0)+IF(Scenario_Select="Scenario 4",'CBA Inputs'!AE$180-'CBA Inputs'!AE182,0)),0)*AF$55</f>
        <v>68569</v>
      </c>
      <c r="AG177" s="17">
        <f>IFERROR('Option inputs'!$F16*(IF(Scenario_Select="Scenario 1",'CBA Inputs'!AF$135-'CBA Inputs'!AF137,0)+IF(Scenario_Select="Scenario 2",'CBA Inputs'!AF$150-'CBA Inputs'!AF152,0)+IF(Scenario_Select="Scenario 3",'CBA Inputs'!AF$165-'CBA Inputs'!AF167,0)+IF(Scenario_Select="Scenario 4",'CBA Inputs'!AF$180-'CBA Inputs'!AF182,0)),0)*AG$55</f>
        <v>0</v>
      </c>
      <c r="AH177" s="17">
        <f>IFERROR('Option inputs'!$F16*(IF(Scenario_Select="Scenario 1",'CBA Inputs'!AG$135-'CBA Inputs'!AG137,0)+IF(Scenario_Select="Scenario 2",'CBA Inputs'!AG$150-'CBA Inputs'!AG152,0)+IF(Scenario_Select="Scenario 3",'CBA Inputs'!AG$165-'CBA Inputs'!AG167,0)+IF(Scenario_Select="Scenario 4",'CBA Inputs'!AG$180-'CBA Inputs'!AG182,0)),0)*AH$55</f>
        <v>0</v>
      </c>
      <c r="AI177" s="17">
        <f>IFERROR('Option inputs'!$F16*(IF(Scenario_Select="Scenario 1",'CBA Inputs'!AH$135-'CBA Inputs'!AH137,0)+IF(Scenario_Select="Scenario 2",'CBA Inputs'!AH$150-'CBA Inputs'!AH152,0)+IF(Scenario_Select="Scenario 3",'CBA Inputs'!AH$165-'CBA Inputs'!AH167,0)+IF(Scenario_Select="Scenario 4",'CBA Inputs'!AH$180-'CBA Inputs'!AH182,0)),0)*AI$55</f>
        <v>0</v>
      </c>
      <c r="AJ177" s="17">
        <f>IFERROR('Option inputs'!$F16*(IF(Scenario_Select="Scenario 1",'CBA Inputs'!AI$135-'CBA Inputs'!AI137,0)+IF(Scenario_Select="Scenario 2",'CBA Inputs'!AI$150-'CBA Inputs'!AI152,0)+IF(Scenario_Select="Scenario 3",'CBA Inputs'!AI$165-'CBA Inputs'!AI167,0)+IF(Scenario_Select="Scenario 4",'CBA Inputs'!AI$180-'CBA Inputs'!AI182,0)),0)*AJ$55</f>
        <v>0</v>
      </c>
    </row>
    <row r="178" spans="2:36" x14ac:dyDescent="0.35">
      <c r="B178" s="9">
        <f>'Option inputs'!B17</f>
        <v>3</v>
      </c>
      <c r="C178" s="14" t="str">
        <f>'Option inputs'!C17</f>
        <v>Option 1C</v>
      </c>
      <c r="D178" s="26"/>
      <c r="E178" s="12" t="s">
        <v>35</v>
      </c>
      <c r="F178" s="18">
        <f t="shared" si="45"/>
        <v>9895301.5572918374</v>
      </c>
      <c r="G178" s="17">
        <f>IFERROR('Option inputs'!$F17*(IF(Scenario_Select="Scenario 1",'CBA Inputs'!F$135-'CBA Inputs'!F138,0)+IF(Scenario_Select="Scenario 2",'CBA Inputs'!F$150-'CBA Inputs'!F153,0)+IF(Scenario_Select="Scenario 3",'CBA Inputs'!F$165-'CBA Inputs'!F168,0)+IF(Scenario_Select="Scenario 4",'CBA Inputs'!F$180-'CBA Inputs'!F183,0)),0)*G$55</f>
        <v>0</v>
      </c>
      <c r="H178" s="17">
        <f>IFERROR('Option inputs'!$F17*(IF(Scenario_Select="Scenario 1",'CBA Inputs'!G$135-'CBA Inputs'!G138,0)+IF(Scenario_Select="Scenario 2",'CBA Inputs'!G$150-'CBA Inputs'!G153,0)+IF(Scenario_Select="Scenario 3",'CBA Inputs'!G$165-'CBA Inputs'!G168,0)+IF(Scenario_Select="Scenario 4",'CBA Inputs'!G$180-'CBA Inputs'!G183,0)),0)*H$55</f>
        <v>264</v>
      </c>
      <c r="I178" s="17">
        <f>IFERROR('Option inputs'!$F17*(IF(Scenario_Select="Scenario 1",'CBA Inputs'!H$135-'CBA Inputs'!H138,0)+IF(Scenario_Select="Scenario 2",'CBA Inputs'!H$150-'CBA Inputs'!H153,0)+IF(Scenario_Select="Scenario 3",'CBA Inputs'!H$165-'CBA Inputs'!H168,0)+IF(Scenario_Select="Scenario 4",'CBA Inputs'!H$180-'CBA Inputs'!H183,0)),0)*I$55</f>
        <v>-55</v>
      </c>
      <c r="J178" s="17">
        <f>IFERROR('Option inputs'!$F17*(IF(Scenario_Select="Scenario 1",'CBA Inputs'!I$135-'CBA Inputs'!I138,0)+IF(Scenario_Select="Scenario 2",'CBA Inputs'!I$150-'CBA Inputs'!I153,0)+IF(Scenario_Select="Scenario 3",'CBA Inputs'!I$165-'CBA Inputs'!I168,0)+IF(Scenario_Select="Scenario 4",'CBA Inputs'!I$180-'CBA Inputs'!I183,0)),0)*J$55</f>
        <v>10</v>
      </c>
      <c r="K178" s="17">
        <f>IFERROR('Option inputs'!$F17*(IF(Scenario_Select="Scenario 1",'CBA Inputs'!J$135-'CBA Inputs'!J138,0)+IF(Scenario_Select="Scenario 2",'CBA Inputs'!J$150-'CBA Inputs'!J153,0)+IF(Scenario_Select="Scenario 3",'CBA Inputs'!J$165-'CBA Inputs'!J168,0)+IF(Scenario_Select="Scenario 4",'CBA Inputs'!J$180-'CBA Inputs'!J183,0)),0)*K$55</f>
        <v>116</v>
      </c>
      <c r="L178" s="17">
        <f>IFERROR('Option inputs'!$F17*(IF(Scenario_Select="Scenario 1",'CBA Inputs'!K$135-'CBA Inputs'!K138,0)+IF(Scenario_Select="Scenario 2",'CBA Inputs'!K$150-'CBA Inputs'!K153,0)+IF(Scenario_Select="Scenario 3",'CBA Inputs'!K$165-'CBA Inputs'!K168,0)+IF(Scenario_Select="Scenario 4",'CBA Inputs'!K$180-'CBA Inputs'!K183,0)),0)*L$55</f>
        <v>74</v>
      </c>
      <c r="M178" s="17">
        <f>IFERROR('Option inputs'!$F17*(IF(Scenario_Select="Scenario 1",'CBA Inputs'!L$135-'CBA Inputs'!L138,0)+IF(Scenario_Select="Scenario 2",'CBA Inputs'!L$150-'CBA Inputs'!L153,0)+IF(Scenario_Select="Scenario 3",'CBA Inputs'!L$165-'CBA Inputs'!L168,0)+IF(Scenario_Select="Scenario 4",'CBA Inputs'!L$180-'CBA Inputs'!L183,0)),0)*M$55</f>
        <v>-45</v>
      </c>
      <c r="N178" s="17">
        <f>IFERROR('Option inputs'!$F17*(IF(Scenario_Select="Scenario 1",'CBA Inputs'!M$135-'CBA Inputs'!M138,0)+IF(Scenario_Select="Scenario 2",'CBA Inputs'!M$150-'CBA Inputs'!M153,0)+IF(Scenario_Select="Scenario 3",'CBA Inputs'!M$165-'CBA Inputs'!M168,0)+IF(Scenario_Select="Scenario 4",'CBA Inputs'!M$180-'CBA Inputs'!M183,0)),0)*N$55</f>
        <v>171</v>
      </c>
      <c r="O178" s="17">
        <f>IFERROR('Option inputs'!$F17*(IF(Scenario_Select="Scenario 1",'CBA Inputs'!N$135-'CBA Inputs'!N138,0)+IF(Scenario_Select="Scenario 2",'CBA Inputs'!N$150-'CBA Inputs'!N153,0)+IF(Scenario_Select="Scenario 3",'CBA Inputs'!N$165-'CBA Inputs'!N168,0)+IF(Scenario_Select="Scenario 4",'CBA Inputs'!N$180-'CBA Inputs'!N183,0)),0)*O$55</f>
        <v>53</v>
      </c>
      <c r="P178" s="17">
        <f>IFERROR('Option inputs'!$F17*(IF(Scenario_Select="Scenario 1",'CBA Inputs'!O$135-'CBA Inputs'!O138,0)+IF(Scenario_Select="Scenario 2",'CBA Inputs'!O$150-'CBA Inputs'!O153,0)+IF(Scenario_Select="Scenario 3",'CBA Inputs'!O$165-'CBA Inputs'!O168,0)+IF(Scenario_Select="Scenario 4",'CBA Inputs'!O$180-'CBA Inputs'!O183,0)),0)*P$55</f>
        <v>-10</v>
      </c>
      <c r="Q178" s="17">
        <f>IFERROR('Option inputs'!$F17*(IF(Scenario_Select="Scenario 1",'CBA Inputs'!P$135-'CBA Inputs'!P138,0)+IF(Scenario_Select="Scenario 2",'CBA Inputs'!P$150-'CBA Inputs'!P153,0)+IF(Scenario_Select="Scenario 3",'CBA Inputs'!P$165-'CBA Inputs'!P168,0)+IF(Scenario_Select="Scenario 4",'CBA Inputs'!P$180-'CBA Inputs'!P183,0)),0)*Q$55</f>
        <v>215392455</v>
      </c>
      <c r="R178" s="17">
        <f>IFERROR('Option inputs'!$F17*(IF(Scenario_Select="Scenario 1",'CBA Inputs'!Q$135-'CBA Inputs'!Q138,0)+IF(Scenario_Select="Scenario 2",'CBA Inputs'!Q$150-'CBA Inputs'!Q153,0)+IF(Scenario_Select="Scenario 3",'CBA Inputs'!Q$165-'CBA Inputs'!Q168,0)+IF(Scenario_Select="Scenario 4",'CBA Inputs'!Q$180-'CBA Inputs'!Q183,0)),0)*R$55</f>
        <v>-118923073</v>
      </c>
      <c r="S178" s="17">
        <f>IFERROR('Option inputs'!$F17*(IF(Scenario_Select="Scenario 1",'CBA Inputs'!R$135-'CBA Inputs'!R138,0)+IF(Scenario_Select="Scenario 2",'CBA Inputs'!R$150-'CBA Inputs'!R153,0)+IF(Scenario_Select="Scenario 3",'CBA Inputs'!R$165-'CBA Inputs'!R168,0)+IF(Scenario_Select="Scenario 4",'CBA Inputs'!R$180-'CBA Inputs'!R183,0)),0)*S$55</f>
        <v>-50599699</v>
      </c>
      <c r="T178" s="17">
        <f>IFERROR('Option inputs'!$F17*(IF(Scenario_Select="Scenario 1",'CBA Inputs'!S$135-'CBA Inputs'!S138,0)+IF(Scenario_Select="Scenario 2",'CBA Inputs'!S$150-'CBA Inputs'!S153,0)+IF(Scenario_Select="Scenario 3",'CBA Inputs'!S$165-'CBA Inputs'!S168,0)+IF(Scenario_Select="Scenario 4",'CBA Inputs'!S$180-'CBA Inputs'!S183,0)),0)*T$55</f>
        <v>-18680823</v>
      </c>
      <c r="U178" s="17">
        <f>IFERROR('Option inputs'!$F17*(IF(Scenario_Select="Scenario 1",'CBA Inputs'!T$135-'CBA Inputs'!T138,0)+IF(Scenario_Select="Scenario 2",'CBA Inputs'!T$150-'CBA Inputs'!T153,0)+IF(Scenario_Select="Scenario 3",'CBA Inputs'!T$165-'CBA Inputs'!T168,0)+IF(Scenario_Select="Scenario 4",'CBA Inputs'!T$180-'CBA Inputs'!T183,0)),0)*U$55</f>
        <v>-616531</v>
      </c>
      <c r="V178" s="17">
        <f>IFERROR('Option inputs'!$F17*(IF(Scenario_Select="Scenario 1",'CBA Inputs'!U$135-'CBA Inputs'!U138,0)+IF(Scenario_Select="Scenario 2",'CBA Inputs'!U$150-'CBA Inputs'!U153,0)+IF(Scenario_Select="Scenario 3",'CBA Inputs'!U$165-'CBA Inputs'!U168,0)+IF(Scenario_Select="Scenario 4",'CBA Inputs'!U$180-'CBA Inputs'!U183,0)),0)*V$55</f>
        <v>21336351</v>
      </c>
      <c r="W178" s="17">
        <f>IFERROR('Option inputs'!$F17*(IF(Scenario_Select="Scenario 1",'CBA Inputs'!V$135-'CBA Inputs'!V138,0)+IF(Scenario_Select="Scenario 2",'CBA Inputs'!V$150-'CBA Inputs'!V153,0)+IF(Scenario_Select="Scenario 3",'CBA Inputs'!V$165-'CBA Inputs'!V168,0)+IF(Scenario_Select="Scenario 4",'CBA Inputs'!V$180-'CBA Inputs'!V183,0)),0)*W$55</f>
        <v>-36061971</v>
      </c>
      <c r="X178" s="17">
        <f>IFERROR('Option inputs'!$F17*(IF(Scenario_Select="Scenario 1",'CBA Inputs'!W$135-'CBA Inputs'!W138,0)+IF(Scenario_Select="Scenario 2",'CBA Inputs'!W$150-'CBA Inputs'!W153,0)+IF(Scenario_Select="Scenario 3",'CBA Inputs'!W$165-'CBA Inputs'!W168,0)+IF(Scenario_Select="Scenario 4",'CBA Inputs'!W$180-'CBA Inputs'!W183,0)),0)*X$55</f>
        <v>10091476</v>
      </c>
      <c r="Y178" s="17">
        <f>IFERROR('Option inputs'!$F17*(IF(Scenario_Select="Scenario 1",'CBA Inputs'!X$135-'CBA Inputs'!X138,0)+IF(Scenario_Select="Scenario 2",'CBA Inputs'!X$150-'CBA Inputs'!X153,0)+IF(Scenario_Select="Scenario 3",'CBA Inputs'!X$165-'CBA Inputs'!X168,0)+IF(Scenario_Select="Scenario 4",'CBA Inputs'!X$180-'CBA Inputs'!X183,0)),0)*Y$55</f>
        <v>-33677858</v>
      </c>
      <c r="Z178" s="17">
        <f>IFERROR('Option inputs'!$F17*(IF(Scenario_Select="Scenario 1",'CBA Inputs'!Y$135-'CBA Inputs'!Y138,0)+IF(Scenario_Select="Scenario 2",'CBA Inputs'!Y$150-'CBA Inputs'!Y153,0)+IF(Scenario_Select="Scenario 3",'CBA Inputs'!Y$165-'CBA Inputs'!Y168,0)+IF(Scenario_Select="Scenario 4",'CBA Inputs'!Y$180-'CBA Inputs'!Y183,0)),0)*Z$55</f>
        <v>5744200</v>
      </c>
      <c r="AA178" s="17">
        <f>IFERROR('Option inputs'!$F17*(IF(Scenario_Select="Scenario 1",'CBA Inputs'!Z$135-'CBA Inputs'!Z138,0)+IF(Scenario_Select="Scenario 2",'CBA Inputs'!Z$150-'CBA Inputs'!Z153,0)+IF(Scenario_Select="Scenario 3",'CBA Inputs'!Z$165-'CBA Inputs'!Z168,0)+IF(Scenario_Select="Scenario 4",'CBA Inputs'!Z$180-'CBA Inputs'!Z183,0)),0)*AA$55</f>
        <v>-1936065</v>
      </c>
      <c r="AB178" s="17">
        <f>IFERROR('Option inputs'!$F17*(IF(Scenario_Select="Scenario 1",'CBA Inputs'!AA$135-'CBA Inputs'!AA138,0)+IF(Scenario_Select="Scenario 2",'CBA Inputs'!AA$150-'CBA Inputs'!AA153,0)+IF(Scenario_Select="Scenario 3",'CBA Inputs'!AA$165-'CBA Inputs'!AA168,0)+IF(Scenario_Select="Scenario 4",'CBA Inputs'!AA$180-'CBA Inputs'!AA183,0)),0)*AB$55</f>
        <v>-4</v>
      </c>
      <c r="AC178" s="17">
        <f>IFERROR('Option inputs'!$F17*(IF(Scenario_Select="Scenario 1",'CBA Inputs'!AB$135-'CBA Inputs'!AB138,0)+IF(Scenario_Select="Scenario 2",'CBA Inputs'!AB$150-'CBA Inputs'!AB153,0)+IF(Scenario_Select="Scenario 3",'CBA Inputs'!AB$165-'CBA Inputs'!AB168,0)+IF(Scenario_Select="Scenario 4",'CBA Inputs'!AB$180-'CBA Inputs'!AB183,0)),0)*AC$55</f>
        <v>-5987327</v>
      </c>
      <c r="AD178" s="17">
        <f>IFERROR('Option inputs'!$F17*(IF(Scenario_Select="Scenario 1",'CBA Inputs'!AC$135-'CBA Inputs'!AC138,0)+IF(Scenario_Select="Scenario 2",'CBA Inputs'!AC$150-'CBA Inputs'!AC153,0)+IF(Scenario_Select="Scenario 3",'CBA Inputs'!AC$165-'CBA Inputs'!AC168,0)+IF(Scenario_Select="Scenario 4",'CBA Inputs'!AC$180-'CBA Inputs'!AC183,0)),0)*AD$55</f>
        <v>1709695</v>
      </c>
      <c r="AE178" s="17">
        <f>IFERROR('Option inputs'!$F17*(IF(Scenario_Select="Scenario 1",'CBA Inputs'!AD$135-'CBA Inputs'!AD138,0)+IF(Scenario_Select="Scenario 2",'CBA Inputs'!AD$150-'CBA Inputs'!AD153,0)+IF(Scenario_Select="Scenario 3",'CBA Inputs'!AD$165-'CBA Inputs'!AD168,0)+IF(Scenario_Select="Scenario 4",'CBA Inputs'!AD$180-'CBA Inputs'!AD183,0)),0)*AE$55</f>
        <v>-645612</v>
      </c>
      <c r="AF178" s="17">
        <f>IFERROR('Option inputs'!$F17*(IF(Scenario_Select="Scenario 1",'CBA Inputs'!AE$135-'CBA Inputs'!AE138,0)+IF(Scenario_Select="Scenario 2",'CBA Inputs'!AE$150-'CBA Inputs'!AE153,0)+IF(Scenario_Select="Scenario 3",'CBA Inputs'!AE$165-'CBA Inputs'!AE168,0)+IF(Scenario_Select="Scenario 4",'CBA Inputs'!AE$180-'CBA Inputs'!AE183,0)),0)*AF$55</f>
        <v>66412</v>
      </c>
      <c r="AG178" s="17">
        <f>IFERROR('Option inputs'!$F17*(IF(Scenario_Select="Scenario 1",'CBA Inputs'!AF$135-'CBA Inputs'!AF138,0)+IF(Scenario_Select="Scenario 2",'CBA Inputs'!AF$150-'CBA Inputs'!AF153,0)+IF(Scenario_Select="Scenario 3",'CBA Inputs'!AF$165-'CBA Inputs'!AF168,0)+IF(Scenario_Select="Scenario 4",'CBA Inputs'!AF$180-'CBA Inputs'!AF183,0)),0)*AG$55</f>
        <v>0</v>
      </c>
      <c r="AH178" s="17">
        <f>IFERROR('Option inputs'!$F17*(IF(Scenario_Select="Scenario 1",'CBA Inputs'!AG$135-'CBA Inputs'!AG138,0)+IF(Scenario_Select="Scenario 2",'CBA Inputs'!AG$150-'CBA Inputs'!AG153,0)+IF(Scenario_Select="Scenario 3",'CBA Inputs'!AG$165-'CBA Inputs'!AG168,0)+IF(Scenario_Select="Scenario 4",'CBA Inputs'!AG$180-'CBA Inputs'!AG183,0)),0)*AH$55</f>
        <v>0</v>
      </c>
      <c r="AI178" s="17">
        <f>IFERROR('Option inputs'!$F17*(IF(Scenario_Select="Scenario 1",'CBA Inputs'!AH$135-'CBA Inputs'!AH138,0)+IF(Scenario_Select="Scenario 2",'CBA Inputs'!AH$150-'CBA Inputs'!AH153,0)+IF(Scenario_Select="Scenario 3",'CBA Inputs'!AH$165-'CBA Inputs'!AH168,0)+IF(Scenario_Select="Scenario 4",'CBA Inputs'!AH$180-'CBA Inputs'!AH183,0)),0)*AI$55</f>
        <v>0</v>
      </c>
      <c r="AJ178" s="17">
        <f>IFERROR('Option inputs'!$F17*(IF(Scenario_Select="Scenario 1",'CBA Inputs'!AI$135-'CBA Inputs'!AI138,0)+IF(Scenario_Select="Scenario 2",'CBA Inputs'!AI$150-'CBA Inputs'!AI153,0)+IF(Scenario_Select="Scenario 3",'CBA Inputs'!AI$165-'CBA Inputs'!AI168,0)+IF(Scenario_Select="Scenario 4",'CBA Inputs'!AI$180-'CBA Inputs'!AI183,0)),0)*AJ$55</f>
        <v>0</v>
      </c>
    </row>
    <row r="179" spans="2:36" x14ac:dyDescent="0.35">
      <c r="B179" s="9">
        <f>'Option inputs'!B18</f>
        <v>4</v>
      </c>
      <c r="C179" s="14" t="str">
        <f>'Option inputs'!C18</f>
        <v>Option 2A</v>
      </c>
      <c r="D179" s="26"/>
      <c r="E179" s="12" t="s">
        <v>35</v>
      </c>
      <c r="F179" s="18">
        <f t="shared" si="45"/>
        <v>18795164.294743385</v>
      </c>
      <c r="G179" s="17">
        <f>IFERROR('Option inputs'!$F18*(IF(Scenario_Select="Scenario 1",'CBA Inputs'!F$135-'CBA Inputs'!F139,0)+IF(Scenario_Select="Scenario 2",'CBA Inputs'!F$150-'CBA Inputs'!F154,0)+IF(Scenario_Select="Scenario 3",'CBA Inputs'!F$165-'CBA Inputs'!F169,0)+IF(Scenario_Select="Scenario 4",'CBA Inputs'!F$180-'CBA Inputs'!F184,0)),0)*G$55</f>
        <v>0</v>
      </c>
      <c r="H179" s="17">
        <f>IFERROR('Option inputs'!$F18*(IF(Scenario_Select="Scenario 1",'CBA Inputs'!G$135-'CBA Inputs'!G139,0)+IF(Scenario_Select="Scenario 2",'CBA Inputs'!G$150-'CBA Inputs'!G154,0)+IF(Scenario_Select="Scenario 3",'CBA Inputs'!G$165-'CBA Inputs'!G169,0)+IF(Scenario_Select="Scenario 4",'CBA Inputs'!G$180-'CBA Inputs'!G184,0)),0)*H$55</f>
        <v>-1000</v>
      </c>
      <c r="I179" s="17">
        <f>IFERROR('Option inputs'!$F18*(IF(Scenario_Select="Scenario 1",'CBA Inputs'!H$135-'CBA Inputs'!H139,0)+IF(Scenario_Select="Scenario 2",'CBA Inputs'!H$150-'CBA Inputs'!H154,0)+IF(Scenario_Select="Scenario 3",'CBA Inputs'!H$165-'CBA Inputs'!H169,0)+IF(Scenario_Select="Scenario 4",'CBA Inputs'!H$180-'CBA Inputs'!H184,0)),0)*I$55</f>
        <v>-80</v>
      </c>
      <c r="J179" s="17">
        <f>IFERROR('Option inputs'!$F18*(IF(Scenario_Select="Scenario 1",'CBA Inputs'!I$135-'CBA Inputs'!I139,0)+IF(Scenario_Select="Scenario 2",'CBA Inputs'!I$150-'CBA Inputs'!I154,0)+IF(Scenario_Select="Scenario 3",'CBA Inputs'!I$165-'CBA Inputs'!I169,0)+IF(Scenario_Select="Scenario 4",'CBA Inputs'!I$180-'CBA Inputs'!I184,0)),0)*J$55</f>
        <v>-33</v>
      </c>
      <c r="K179" s="17">
        <f>IFERROR('Option inputs'!$F18*(IF(Scenario_Select="Scenario 1",'CBA Inputs'!J$135-'CBA Inputs'!J139,0)+IF(Scenario_Select="Scenario 2",'CBA Inputs'!J$150-'CBA Inputs'!J154,0)+IF(Scenario_Select="Scenario 3",'CBA Inputs'!J$165-'CBA Inputs'!J169,0)+IF(Scenario_Select="Scenario 4",'CBA Inputs'!J$180-'CBA Inputs'!J184,0)),0)*K$55</f>
        <v>-14</v>
      </c>
      <c r="L179" s="17">
        <f>IFERROR('Option inputs'!$F18*(IF(Scenario_Select="Scenario 1",'CBA Inputs'!K$135-'CBA Inputs'!K139,0)+IF(Scenario_Select="Scenario 2",'CBA Inputs'!K$150-'CBA Inputs'!K154,0)+IF(Scenario_Select="Scenario 3",'CBA Inputs'!K$165-'CBA Inputs'!K169,0)+IF(Scenario_Select="Scenario 4",'CBA Inputs'!K$180-'CBA Inputs'!K184,0)),0)*L$55</f>
        <v>-23</v>
      </c>
      <c r="M179" s="17">
        <f>IFERROR('Option inputs'!$F18*(IF(Scenario_Select="Scenario 1",'CBA Inputs'!L$135-'CBA Inputs'!L139,0)+IF(Scenario_Select="Scenario 2",'CBA Inputs'!L$150-'CBA Inputs'!L154,0)+IF(Scenario_Select="Scenario 3",'CBA Inputs'!L$165-'CBA Inputs'!L169,0)+IF(Scenario_Select="Scenario 4",'CBA Inputs'!L$180-'CBA Inputs'!L184,0)),0)*M$55</f>
        <v>-193</v>
      </c>
      <c r="N179" s="17">
        <f>IFERROR('Option inputs'!$F18*(IF(Scenario_Select="Scenario 1",'CBA Inputs'!M$135-'CBA Inputs'!M139,0)+IF(Scenario_Select="Scenario 2",'CBA Inputs'!M$150-'CBA Inputs'!M154,0)+IF(Scenario_Select="Scenario 3",'CBA Inputs'!M$165-'CBA Inputs'!M169,0)+IF(Scenario_Select="Scenario 4",'CBA Inputs'!M$180-'CBA Inputs'!M184,0)),0)*N$55</f>
        <v>27</v>
      </c>
      <c r="O179" s="17">
        <f>IFERROR('Option inputs'!$F18*(IF(Scenario_Select="Scenario 1",'CBA Inputs'!N$135-'CBA Inputs'!N139,0)+IF(Scenario_Select="Scenario 2",'CBA Inputs'!N$150-'CBA Inputs'!N154,0)+IF(Scenario_Select="Scenario 3",'CBA Inputs'!N$165-'CBA Inputs'!N169,0)+IF(Scenario_Select="Scenario 4",'CBA Inputs'!N$180-'CBA Inputs'!N184,0)),0)*O$55</f>
        <v>-6</v>
      </c>
      <c r="P179" s="17">
        <f>IFERROR('Option inputs'!$F18*(IF(Scenario_Select="Scenario 1",'CBA Inputs'!O$135-'CBA Inputs'!O139,0)+IF(Scenario_Select="Scenario 2",'CBA Inputs'!O$150-'CBA Inputs'!O154,0)+IF(Scenario_Select="Scenario 3",'CBA Inputs'!O$165-'CBA Inputs'!O169,0)+IF(Scenario_Select="Scenario 4",'CBA Inputs'!O$180-'CBA Inputs'!O184,0)),0)*P$55</f>
        <v>-256</v>
      </c>
      <c r="Q179" s="17">
        <f>IFERROR('Option inputs'!$F18*(IF(Scenario_Select="Scenario 1",'CBA Inputs'!P$135-'CBA Inputs'!P139,0)+IF(Scenario_Select="Scenario 2",'CBA Inputs'!P$150-'CBA Inputs'!P154,0)+IF(Scenario_Select="Scenario 3",'CBA Inputs'!P$165-'CBA Inputs'!P169,0)+IF(Scenario_Select="Scenario 4",'CBA Inputs'!P$180-'CBA Inputs'!P184,0)),0)*Q$55</f>
        <v>166099952</v>
      </c>
      <c r="R179" s="17">
        <f>IFERROR('Option inputs'!$F18*(IF(Scenario_Select="Scenario 1",'CBA Inputs'!Q$135-'CBA Inputs'!Q139,0)+IF(Scenario_Select="Scenario 2",'CBA Inputs'!Q$150-'CBA Inputs'!Q154,0)+IF(Scenario_Select="Scenario 3",'CBA Inputs'!Q$165-'CBA Inputs'!Q169,0)+IF(Scenario_Select="Scenario 4",'CBA Inputs'!Q$180-'CBA Inputs'!Q184,0)),0)*R$55</f>
        <v>983</v>
      </c>
      <c r="S179" s="17">
        <f>IFERROR('Option inputs'!$F18*(IF(Scenario_Select="Scenario 1",'CBA Inputs'!R$135-'CBA Inputs'!R139,0)+IF(Scenario_Select="Scenario 2",'CBA Inputs'!R$150-'CBA Inputs'!R154,0)+IF(Scenario_Select="Scenario 3",'CBA Inputs'!R$165-'CBA Inputs'!R169,0)+IF(Scenario_Select="Scenario 4",'CBA Inputs'!R$180-'CBA Inputs'!R184,0)),0)*S$55</f>
        <v>7725958</v>
      </c>
      <c r="T179" s="17">
        <f>IFERROR('Option inputs'!$F18*(IF(Scenario_Select="Scenario 1",'CBA Inputs'!S$135-'CBA Inputs'!S139,0)+IF(Scenario_Select="Scenario 2",'CBA Inputs'!S$150-'CBA Inputs'!S154,0)+IF(Scenario_Select="Scenario 3",'CBA Inputs'!S$165-'CBA Inputs'!S169,0)+IF(Scenario_Select="Scenario 4",'CBA Inputs'!S$180-'CBA Inputs'!S184,0)),0)*T$55</f>
        <v>22577427</v>
      </c>
      <c r="U179" s="17">
        <f>IFERROR('Option inputs'!$F18*(IF(Scenario_Select="Scenario 1",'CBA Inputs'!T$135-'CBA Inputs'!T139,0)+IF(Scenario_Select="Scenario 2",'CBA Inputs'!T$150-'CBA Inputs'!T154,0)+IF(Scenario_Select="Scenario 3",'CBA Inputs'!T$165-'CBA Inputs'!T169,0)+IF(Scenario_Select="Scenario 4",'CBA Inputs'!T$180-'CBA Inputs'!T184,0)),0)*U$55</f>
        <v>-544095</v>
      </c>
      <c r="V179" s="17">
        <f>IFERROR('Option inputs'!$F18*(IF(Scenario_Select="Scenario 1",'CBA Inputs'!U$135-'CBA Inputs'!U139,0)+IF(Scenario_Select="Scenario 2",'CBA Inputs'!U$150-'CBA Inputs'!U154,0)+IF(Scenario_Select="Scenario 3",'CBA Inputs'!U$165-'CBA Inputs'!U169,0)+IF(Scenario_Select="Scenario 4",'CBA Inputs'!U$180-'CBA Inputs'!U184,0)),0)*V$55</f>
        <v>-22950</v>
      </c>
      <c r="W179" s="17">
        <f>IFERROR('Option inputs'!$F18*(IF(Scenario_Select="Scenario 1",'CBA Inputs'!V$135-'CBA Inputs'!V139,0)+IF(Scenario_Select="Scenario 2",'CBA Inputs'!V$150-'CBA Inputs'!V154,0)+IF(Scenario_Select="Scenario 3",'CBA Inputs'!V$165-'CBA Inputs'!V169,0)+IF(Scenario_Select="Scenario 4",'CBA Inputs'!V$180-'CBA Inputs'!V184,0)),0)*W$55</f>
        <v>-146486096</v>
      </c>
      <c r="X179" s="17">
        <f>IFERROR('Option inputs'!$F18*(IF(Scenario_Select="Scenario 1",'CBA Inputs'!W$135-'CBA Inputs'!W139,0)+IF(Scenario_Select="Scenario 2",'CBA Inputs'!W$150-'CBA Inputs'!W154,0)+IF(Scenario_Select="Scenario 3",'CBA Inputs'!W$165-'CBA Inputs'!W169,0)+IF(Scenario_Select="Scenario 4",'CBA Inputs'!W$180-'CBA Inputs'!W184,0)),0)*X$55</f>
        <v>100477060</v>
      </c>
      <c r="Y179" s="17">
        <f>IFERROR('Option inputs'!$F18*(IF(Scenario_Select="Scenario 1",'CBA Inputs'!X$135-'CBA Inputs'!X139,0)+IF(Scenario_Select="Scenario 2",'CBA Inputs'!X$150-'CBA Inputs'!X154,0)+IF(Scenario_Select="Scenario 3",'CBA Inputs'!X$165-'CBA Inputs'!X169,0)+IF(Scenario_Select="Scenario 4",'CBA Inputs'!X$180-'CBA Inputs'!X184,0)),0)*Y$55</f>
        <v>-168762951</v>
      </c>
      <c r="Z179" s="17">
        <f>IFERROR('Option inputs'!$F18*(IF(Scenario_Select="Scenario 1",'CBA Inputs'!Y$135-'CBA Inputs'!Y139,0)+IF(Scenario_Select="Scenario 2",'CBA Inputs'!Y$150-'CBA Inputs'!Y154,0)+IF(Scenario_Select="Scenario 3",'CBA Inputs'!Y$165-'CBA Inputs'!Y169,0)+IF(Scenario_Select="Scenario 4",'CBA Inputs'!Y$180-'CBA Inputs'!Y184,0)),0)*Z$55</f>
        <v>19604705</v>
      </c>
      <c r="AA179" s="17">
        <f>IFERROR('Option inputs'!$F18*(IF(Scenario_Select="Scenario 1",'CBA Inputs'!Z$135-'CBA Inputs'!Z139,0)+IF(Scenario_Select="Scenario 2",'CBA Inputs'!Z$150-'CBA Inputs'!Z154,0)+IF(Scenario_Select="Scenario 3",'CBA Inputs'!Z$165-'CBA Inputs'!Z169,0)+IF(Scenario_Select="Scenario 4",'CBA Inputs'!Z$180-'CBA Inputs'!Z184,0)),0)*AA$55</f>
        <v>-7239626</v>
      </c>
      <c r="AB179" s="17">
        <f>IFERROR('Option inputs'!$F18*(IF(Scenario_Select="Scenario 1",'CBA Inputs'!AA$135-'CBA Inputs'!AA139,0)+IF(Scenario_Select="Scenario 2",'CBA Inputs'!AA$150-'CBA Inputs'!AA154,0)+IF(Scenario_Select="Scenario 3",'CBA Inputs'!AA$165-'CBA Inputs'!AA169,0)+IF(Scenario_Select="Scenario 4",'CBA Inputs'!AA$180-'CBA Inputs'!AA184,0)),0)*AB$55</f>
        <v>-32</v>
      </c>
      <c r="AC179" s="17">
        <f>IFERROR('Option inputs'!$F18*(IF(Scenario_Select="Scenario 1",'CBA Inputs'!AB$135-'CBA Inputs'!AB139,0)+IF(Scenario_Select="Scenario 2",'CBA Inputs'!AB$150-'CBA Inputs'!AB154,0)+IF(Scenario_Select="Scenario 3",'CBA Inputs'!AB$165-'CBA Inputs'!AB169,0)+IF(Scenario_Select="Scenario 4",'CBA Inputs'!AB$180-'CBA Inputs'!AB184,0)),0)*AC$55</f>
        <v>-35864283</v>
      </c>
      <c r="AD179" s="17">
        <f>IFERROR('Option inputs'!$F18*(IF(Scenario_Select="Scenario 1",'CBA Inputs'!AC$135-'CBA Inputs'!AC139,0)+IF(Scenario_Select="Scenario 2",'CBA Inputs'!AC$150-'CBA Inputs'!AC154,0)+IF(Scenario_Select="Scenario 3",'CBA Inputs'!AC$165-'CBA Inputs'!AC169,0)+IF(Scenario_Select="Scenario 4",'CBA Inputs'!AC$180-'CBA Inputs'!AC184,0)),0)*AD$55</f>
        <v>-12677544</v>
      </c>
      <c r="AE179" s="17">
        <f>IFERROR('Option inputs'!$F18*(IF(Scenario_Select="Scenario 1",'CBA Inputs'!AD$135-'CBA Inputs'!AD139,0)+IF(Scenario_Select="Scenario 2",'CBA Inputs'!AD$150-'CBA Inputs'!AD154,0)+IF(Scenario_Select="Scenario 3",'CBA Inputs'!AD$165-'CBA Inputs'!AD169,0)+IF(Scenario_Select="Scenario 4",'CBA Inputs'!AD$180-'CBA Inputs'!AD184,0)),0)*AE$55</f>
        <v>4166488</v>
      </c>
      <c r="AF179" s="17">
        <f>IFERROR('Option inputs'!$F18*(IF(Scenario_Select="Scenario 1",'CBA Inputs'!AE$135-'CBA Inputs'!AE139,0)+IF(Scenario_Select="Scenario 2",'CBA Inputs'!AE$150-'CBA Inputs'!AE154,0)+IF(Scenario_Select="Scenario 3",'CBA Inputs'!AE$165-'CBA Inputs'!AE169,0)+IF(Scenario_Select="Scenario 4",'CBA Inputs'!AE$180-'CBA Inputs'!AE184,0)),0)*AF$55</f>
        <v>-890198</v>
      </c>
      <c r="AG179" s="17">
        <f>IFERROR('Option inputs'!$F18*(IF(Scenario_Select="Scenario 1",'CBA Inputs'!AF$135-'CBA Inputs'!AF139,0)+IF(Scenario_Select="Scenario 2",'CBA Inputs'!AF$150-'CBA Inputs'!AF154,0)+IF(Scenario_Select="Scenario 3",'CBA Inputs'!AF$165-'CBA Inputs'!AF169,0)+IF(Scenario_Select="Scenario 4",'CBA Inputs'!AF$180-'CBA Inputs'!AF184,0)),0)*AG$55</f>
        <v>0</v>
      </c>
      <c r="AH179" s="17">
        <f>IFERROR('Option inputs'!$F18*(IF(Scenario_Select="Scenario 1",'CBA Inputs'!AG$135-'CBA Inputs'!AG139,0)+IF(Scenario_Select="Scenario 2",'CBA Inputs'!AG$150-'CBA Inputs'!AG154,0)+IF(Scenario_Select="Scenario 3",'CBA Inputs'!AG$165-'CBA Inputs'!AG169,0)+IF(Scenario_Select="Scenario 4",'CBA Inputs'!AG$180-'CBA Inputs'!AG184,0)),0)*AH$55</f>
        <v>0</v>
      </c>
      <c r="AI179" s="17">
        <f>IFERROR('Option inputs'!$F18*(IF(Scenario_Select="Scenario 1",'CBA Inputs'!AH$135-'CBA Inputs'!AH139,0)+IF(Scenario_Select="Scenario 2",'CBA Inputs'!AH$150-'CBA Inputs'!AH154,0)+IF(Scenario_Select="Scenario 3",'CBA Inputs'!AH$165-'CBA Inputs'!AH169,0)+IF(Scenario_Select="Scenario 4",'CBA Inputs'!AH$180-'CBA Inputs'!AH184,0)),0)*AI$55</f>
        <v>0</v>
      </c>
      <c r="AJ179" s="17">
        <f>IFERROR('Option inputs'!$F18*(IF(Scenario_Select="Scenario 1",'CBA Inputs'!AI$135-'CBA Inputs'!AI139,0)+IF(Scenario_Select="Scenario 2",'CBA Inputs'!AI$150-'CBA Inputs'!AI154,0)+IF(Scenario_Select="Scenario 3",'CBA Inputs'!AI$165-'CBA Inputs'!AI169,0)+IF(Scenario_Select="Scenario 4",'CBA Inputs'!AI$180-'CBA Inputs'!AI184,0)),0)*AJ$55</f>
        <v>0</v>
      </c>
    </row>
    <row r="180" spans="2:36" x14ac:dyDescent="0.35">
      <c r="B180" s="9">
        <f>'Option inputs'!B19</f>
        <v>5</v>
      </c>
      <c r="C180" s="14" t="str">
        <f>'Option inputs'!C19</f>
        <v>Option 2B</v>
      </c>
      <c r="D180" s="26"/>
      <c r="E180" s="12" t="s">
        <v>35</v>
      </c>
      <c r="F180" s="18">
        <f t="shared" si="45"/>
        <v>15879000.062048873</v>
      </c>
      <c r="G180" s="17">
        <f>IFERROR('Option inputs'!$F19*(IF(Scenario_Select="Scenario 1",'CBA Inputs'!F$135-'CBA Inputs'!F140,0)+IF(Scenario_Select="Scenario 2",'CBA Inputs'!F$150-'CBA Inputs'!F155,0)+IF(Scenario_Select="Scenario 3",'CBA Inputs'!F$165-'CBA Inputs'!F170,0)+IF(Scenario_Select="Scenario 4",'CBA Inputs'!F$180-'CBA Inputs'!F185,0)),0)*G$55</f>
        <v>0</v>
      </c>
      <c r="H180" s="17">
        <f>IFERROR('Option inputs'!$F19*(IF(Scenario_Select="Scenario 1",'CBA Inputs'!G$135-'CBA Inputs'!G140,0)+IF(Scenario_Select="Scenario 2",'CBA Inputs'!G$150-'CBA Inputs'!G155,0)+IF(Scenario_Select="Scenario 3",'CBA Inputs'!G$165-'CBA Inputs'!G170,0)+IF(Scenario_Select="Scenario 4",'CBA Inputs'!G$180-'CBA Inputs'!G185,0)),0)*H$55</f>
        <v>-229</v>
      </c>
      <c r="I180" s="17">
        <f>IFERROR('Option inputs'!$F19*(IF(Scenario_Select="Scenario 1",'CBA Inputs'!H$135-'CBA Inputs'!H140,0)+IF(Scenario_Select="Scenario 2",'CBA Inputs'!H$150-'CBA Inputs'!H155,0)+IF(Scenario_Select="Scenario 3",'CBA Inputs'!H$165-'CBA Inputs'!H170,0)+IF(Scenario_Select="Scenario 4",'CBA Inputs'!H$180-'CBA Inputs'!H185,0)),0)*I$55</f>
        <v>-58</v>
      </c>
      <c r="J180" s="17">
        <f>IFERROR('Option inputs'!$F19*(IF(Scenario_Select="Scenario 1",'CBA Inputs'!I$135-'CBA Inputs'!I140,0)+IF(Scenario_Select="Scenario 2",'CBA Inputs'!I$150-'CBA Inputs'!I155,0)+IF(Scenario_Select="Scenario 3",'CBA Inputs'!I$165-'CBA Inputs'!I170,0)+IF(Scenario_Select="Scenario 4",'CBA Inputs'!I$180-'CBA Inputs'!I185,0)),0)*J$55</f>
        <v>40</v>
      </c>
      <c r="K180" s="17">
        <f>IFERROR('Option inputs'!$F19*(IF(Scenario_Select="Scenario 1",'CBA Inputs'!J$135-'CBA Inputs'!J140,0)+IF(Scenario_Select="Scenario 2",'CBA Inputs'!J$150-'CBA Inputs'!J155,0)+IF(Scenario_Select="Scenario 3",'CBA Inputs'!J$165-'CBA Inputs'!J170,0)+IF(Scenario_Select="Scenario 4",'CBA Inputs'!J$180-'CBA Inputs'!J185,0)),0)*K$55</f>
        <v>72</v>
      </c>
      <c r="L180" s="17">
        <f>IFERROR('Option inputs'!$F19*(IF(Scenario_Select="Scenario 1",'CBA Inputs'!K$135-'CBA Inputs'!K140,0)+IF(Scenario_Select="Scenario 2",'CBA Inputs'!K$150-'CBA Inputs'!K155,0)+IF(Scenario_Select="Scenario 3",'CBA Inputs'!K$165-'CBA Inputs'!K170,0)+IF(Scenario_Select="Scenario 4",'CBA Inputs'!K$180-'CBA Inputs'!K185,0)),0)*L$55</f>
        <v>3</v>
      </c>
      <c r="M180" s="17">
        <f>IFERROR('Option inputs'!$F19*(IF(Scenario_Select="Scenario 1",'CBA Inputs'!L$135-'CBA Inputs'!L140,0)+IF(Scenario_Select="Scenario 2",'CBA Inputs'!L$150-'CBA Inputs'!L155,0)+IF(Scenario_Select="Scenario 3",'CBA Inputs'!L$165-'CBA Inputs'!L170,0)+IF(Scenario_Select="Scenario 4",'CBA Inputs'!L$180-'CBA Inputs'!L185,0)),0)*M$55</f>
        <v>-107</v>
      </c>
      <c r="N180" s="17">
        <f>IFERROR('Option inputs'!$F19*(IF(Scenario_Select="Scenario 1",'CBA Inputs'!M$135-'CBA Inputs'!M140,0)+IF(Scenario_Select="Scenario 2",'CBA Inputs'!M$150-'CBA Inputs'!M155,0)+IF(Scenario_Select="Scenario 3",'CBA Inputs'!M$165-'CBA Inputs'!M170,0)+IF(Scenario_Select="Scenario 4",'CBA Inputs'!M$180-'CBA Inputs'!M185,0)),0)*N$55</f>
        <v>73</v>
      </c>
      <c r="O180" s="17">
        <f>IFERROR('Option inputs'!$F19*(IF(Scenario_Select="Scenario 1",'CBA Inputs'!N$135-'CBA Inputs'!N140,0)+IF(Scenario_Select="Scenario 2",'CBA Inputs'!N$150-'CBA Inputs'!N155,0)+IF(Scenario_Select="Scenario 3",'CBA Inputs'!N$165-'CBA Inputs'!N170,0)+IF(Scenario_Select="Scenario 4",'CBA Inputs'!N$180-'CBA Inputs'!N185,0)),0)*O$55</f>
        <v>-32</v>
      </c>
      <c r="P180" s="17">
        <f>IFERROR('Option inputs'!$F19*(IF(Scenario_Select="Scenario 1",'CBA Inputs'!O$135-'CBA Inputs'!O140,0)+IF(Scenario_Select="Scenario 2",'CBA Inputs'!O$150-'CBA Inputs'!O155,0)+IF(Scenario_Select="Scenario 3",'CBA Inputs'!O$165-'CBA Inputs'!O170,0)+IF(Scenario_Select="Scenario 4",'CBA Inputs'!O$180-'CBA Inputs'!O185,0)),0)*P$55</f>
        <v>-119</v>
      </c>
      <c r="Q180" s="17">
        <f>IFERROR('Option inputs'!$F19*(IF(Scenario_Select="Scenario 1",'CBA Inputs'!P$135-'CBA Inputs'!P140,0)+IF(Scenario_Select="Scenario 2",'CBA Inputs'!P$150-'CBA Inputs'!P155,0)+IF(Scenario_Select="Scenario 3",'CBA Inputs'!P$165-'CBA Inputs'!P170,0)+IF(Scenario_Select="Scenario 4",'CBA Inputs'!P$180-'CBA Inputs'!P185,0)),0)*Q$55</f>
        <v>215392736</v>
      </c>
      <c r="R180" s="17">
        <f>IFERROR('Option inputs'!$F19*(IF(Scenario_Select="Scenario 1",'CBA Inputs'!Q$135-'CBA Inputs'!Q140,0)+IF(Scenario_Select="Scenario 2",'CBA Inputs'!Q$150-'CBA Inputs'!Q155,0)+IF(Scenario_Select="Scenario 3",'CBA Inputs'!Q$165-'CBA Inputs'!Q170,0)+IF(Scenario_Select="Scenario 4",'CBA Inputs'!Q$180-'CBA Inputs'!Q185,0)),0)*R$55</f>
        <v>1064</v>
      </c>
      <c r="S180" s="17">
        <f>IFERROR('Option inputs'!$F19*(IF(Scenario_Select="Scenario 1",'CBA Inputs'!R$135-'CBA Inputs'!R140,0)+IF(Scenario_Select="Scenario 2",'CBA Inputs'!R$150-'CBA Inputs'!R155,0)+IF(Scenario_Select="Scenario 3",'CBA Inputs'!R$165-'CBA Inputs'!R170,0)+IF(Scenario_Select="Scenario 4",'CBA Inputs'!R$180-'CBA Inputs'!R185,0)),0)*S$55</f>
        <v>28813793</v>
      </c>
      <c r="T180" s="17">
        <f>IFERROR('Option inputs'!$F19*(IF(Scenario_Select="Scenario 1",'CBA Inputs'!S$135-'CBA Inputs'!S140,0)+IF(Scenario_Select="Scenario 2",'CBA Inputs'!S$150-'CBA Inputs'!S155,0)+IF(Scenario_Select="Scenario 3",'CBA Inputs'!S$165-'CBA Inputs'!S170,0)+IF(Scenario_Select="Scenario 4",'CBA Inputs'!S$180-'CBA Inputs'!S185,0)),0)*T$55</f>
        <v>24125672</v>
      </c>
      <c r="U180" s="17">
        <f>IFERROR('Option inputs'!$F19*(IF(Scenario_Select="Scenario 1",'CBA Inputs'!T$135-'CBA Inputs'!T140,0)+IF(Scenario_Select="Scenario 2",'CBA Inputs'!T$150-'CBA Inputs'!T155,0)+IF(Scenario_Select="Scenario 3",'CBA Inputs'!T$165-'CBA Inputs'!T170,0)+IF(Scenario_Select="Scenario 4",'CBA Inputs'!T$180-'CBA Inputs'!T185,0)),0)*U$55</f>
        <v>-32608545</v>
      </c>
      <c r="V180" s="17">
        <f>IFERROR('Option inputs'!$F19*(IF(Scenario_Select="Scenario 1",'CBA Inputs'!U$135-'CBA Inputs'!U140,0)+IF(Scenario_Select="Scenario 2",'CBA Inputs'!U$150-'CBA Inputs'!U155,0)+IF(Scenario_Select="Scenario 3",'CBA Inputs'!U$165-'CBA Inputs'!U170,0)+IF(Scenario_Select="Scenario 4",'CBA Inputs'!U$180-'CBA Inputs'!U185,0)),0)*V$55</f>
        <v>11949410</v>
      </c>
      <c r="W180" s="17">
        <f>IFERROR('Option inputs'!$F19*(IF(Scenario_Select="Scenario 1",'CBA Inputs'!V$135-'CBA Inputs'!V140,0)+IF(Scenario_Select="Scenario 2",'CBA Inputs'!V$150-'CBA Inputs'!V155,0)+IF(Scenario_Select="Scenario 3",'CBA Inputs'!V$165-'CBA Inputs'!V170,0)+IF(Scenario_Select="Scenario 4",'CBA Inputs'!V$180-'CBA Inputs'!V185,0)),0)*W$55</f>
        <v>-181969014</v>
      </c>
      <c r="X180" s="17">
        <f>IFERROR('Option inputs'!$F19*(IF(Scenario_Select="Scenario 1",'CBA Inputs'!W$135-'CBA Inputs'!W140,0)+IF(Scenario_Select="Scenario 2",'CBA Inputs'!W$150-'CBA Inputs'!W155,0)+IF(Scenario_Select="Scenario 3",'CBA Inputs'!W$165-'CBA Inputs'!W170,0)+IF(Scenario_Select="Scenario 4",'CBA Inputs'!W$180-'CBA Inputs'!W185,0)),0)*X$55</f>
        <v>96570147</v>
      </c>
      <c r="Y180" s="17">
        <f>IFERROR('Option inputs'!$F19*(IF(Scenario_Select="Scenario 1",'CBA Inputs'!X$135-'CBA Inputs'!X140,0)+IF(Scenario_Select="Scenario 2",'CBA Inputs'!X$150-'CBA Inputs'!X155,0)+IF(Scenario_Select="Scenario 3",'CBA Inputs'!X$165-'CBA Inputs'!X170,0)+IF(Scenario_Select="Scenario 4",'CBA Inputs'!X$180-'CBA Inputs'!X185,0)),0)*Y$55</f>
        <v>-234059063</v>
      </c>
      <c r="Z180" s="17">
        <f>IFERROR('Option inputs'!$F19*(IF(Scenario_Select="Scenario 1",'CBA Inputs'!Y$135-'CBA Inputs'!Y140,0)+IF(Scenario_Select="Scenario 2",'CBA Inputs'!Y$150-'CBA Inputs'!Y155,0)+IF(Scenario_Select="Scenario 3",'CBA Inputs'!Y$165-'CBA Inputs'!Y170,0)+IF(Scenario_Select="Scenario 4",'CBA Inputs'!Y$180-'CBA Inputs'!Y185,0)),0)*Z$55</f>
        <v>23629030</v>
      </c>
      <c r="AA180" s="17">
        <f>IFERROR('Option inputs'!$F19*(IF(Scenario_Select="Scenario 1",'CBA Inputs'!Z$135-'CBA Inputs'!Z140,0)+IF(Scenario_Select="Scenario 2",'CBA Inputs'!Z$150-'CBA Inputs'!Z155,0)+IF(Scenario_Select="Scenario 3",'CBA Inputs'!Z$165-'CBA Inputs'!Z170,0)+IF(Scenario_Select="Scenario 4",'CBA Inputs'!Z$180-'CBA Inputs'!Z185,0)),0)*AA$55</f>
        <v>-8751342</v>
      </c>
      <c r="AB180" s="17">
        <f>IFERROR('Option inputs'!$F19*(IF(Scenario_Select="Scenario 1",'CBA Inputs'!AA$135-'CBA Inputs'!AA140,0)+IF(Scenario_Select="Scenario 2",'CBA Inputs'!AA$150-'CBA Inputs'!AA155,0)+IF(Scenario_Select="Scenario 3",'CBA Inputs'!AA$165-'CBA Inputs'!AA170,0)+IF(Scenario_Select="Scenario 4",'CBA Inputs'!AA$180-'CBA Inputs'!AA185,0)),0)*AB$55</f>
        <v>-30</v>
      </c>
      <c r="AC180" s="17">
        <f>IFERROR('Option inputs'!$F19*(IF(Scenario_Select="Scenario 1",'CBA Inputs'!AB$135-'CBA Inputs'!AB140,0)+IF(Scenario_Select="Scenario 2",'CBA Inputs'!AB$150-'CBA Inputs'!AB155,0)+IF(Scenario_Select="Scenario 3",'CBA Inputs'!AB$165-'CBA Inputs'!AB170,0)+IF(Scenario_Select="Scenario 4",'CBA Inputs'!AB$180-'CBA Inputs'!AB185,0)),0)*AC$55</f>
        <v>-14568221</v>
      </c>
      <c r="AD180" s="17">
        <f>IFERROR('Option inputs'!$F19*(IF(Scenario_Select="Scenario 1",'CBA Inputs'!AC$135-'CBA Inputs'!AC140,0)+IF(Scenario_Select="Scenario 2",'CBA Inputs'!AC$150-'CBA Inputs'!AC155,0)+IF(Scenario_Select="Scenario 3",'CBA Inputs'!AC$165-'CBA Inputs'!AC170,0)+IF(Scenario_Select="Scenario 4",'CBA Inputs'!AC$180-'CBA Inputs'!AC185,0)),0)*AD$55</f>
        <v>-16055112</v>
      </c>
      <c r="AE180" s="17">
        <f>IFERROR('Option inputs'!$F19*(IF(Scenario_Select="Scenario 1",'CBA Inputs'!AD$135-'CBA Inputs'!AD140,0)+IF(Scenario_Select="Scenario 2",'CBA Inputs'!AD$150-'CBA Inputs'!AD155,0)+IF(Scenario_Select="Scenario 3",'CBA Inputs'!AD$165-'CBA Inputs'!AD170,0)+IF(Scenario_Select="Scenario 4",'CBA Inputs'!AD$180-'CBA Inputs'!AD185,0)),0)*AE$55</f>
        <v>4353057</v>
      </c>
      <c r="AF180" s="17">
        <f>IFERROR('Option inputs'!$F19*(IF(Scenario_Select="Scenario 1",'CBA Inputs'!AE$135-'CBA Inputs'!AE140,0)+IF(Scenario_Select="Scenario 2",'CBA Inputs'!AE$150-'CBA Inputs'!AE155,0)+IF(Scenario_Select="Scenario 3",'CBA Inputs'!AE$165-'CBA Inputs'!AE170,0)+IF(Scenario_Select="Scenario 4",'CBA Inputs'!AE$180-'CBA Inputs'!AE185,0)),0)*AF$55</f>
        <v>-311062</v>
      </c>
      <c r="AG180" s="17">
        <f>IFERROR('Option inputs'!$F19*(IF(Scenario_Select="Scenario 1",'CBA Inputs'!AF$135-'CBA Inputs'!AF140,0)+IF(Scenario_Select="Scenario 2",'CBA Inputs'!AF$150-'CBA Inputs'!AF155,0)+IF(Scenario_Select="Scenario 3",'CBA Inputs'!AF$165-'CBA Inputs'!AF170,0)+IF(Scenario_Select="Scenario 4",'CBA Inputs'!AF$180-'CBA Inputs'!AF185,0)),0)*AG$55</f>
        <v>0</v>
      </c>
      <c r="AH180" s="17">
        <f>IFERROR('Option inputs'!$F19*(IF(Scenario_Select="Scenario 1",'CBA Inputs'!AG$135-'CBA Inputs'!AG140,0)+IF(Scenario_Select="Scenario 2",'CBA Inputs'!AG$150-'CBA Inputs'!AG155,0)+IF(Scenario_Select="Scenario 3",'CBA Inputs'!AG$165-'CBA Inputs'!AG170,0)+IF(Scenario_Select="Scenario 4",'CBA Inputs'!AG$180-'CBA Inputs'!AG185,0)),0)*AH$55</f>
        <v>0</v>
      </c>
      <c r="AI180" s="17">
        <f>IFERROR('Option inputs'!$F19*(IF(Scenario_Select="Scenario 1",'CBA Inputs'!AH$135-'CBA Inputs'!AH140,0)+IF(Scenario_Select="Scenario 2",'CBA Inputs'!AH$150-'CBA Inputs'!AH155,0)+IF(Scenario_Select="Scenario 3",'CBA Inputs'!AH$165-'CBA Inputs'!AH170,0)+IF(Scenario_Select="Scenario 4",'CBA Inputs'!AH$180-'CBA Inputs'!AH185,0)),0)*AI$55</f>
        <v>0</v>
      </c>
      <c r="AJ180" s="17">
        <f>IFERROR('Option inputs'!$F19*(IF(Scenario_Select="Scenario 1",'CBA Inputs'!AI$135-'CBA Inputs'!AI140,0)+IF(Scenario_Select="Scenario 2",'CBA Inputs'!AI$150-'CBA Inputs'!AI155,0)+IF(Scenario_Select="Scenario 3",'CBA Inputs'!AI$165-'CBA Inputs'!AI170,0)+IF(Scenario_Select="Scenario 4",'CBA Inputs'!AI$180-'CBA Inputs'!AI185,0)),0)*AJ$55</f>
        <v>0</v>
      </c>
    </row>
    <row r="181" spans="2:36" x14ac:dyDescent="0.35">
      <c r="B181" s="9">
        <f>'Option inputs'!B20</f>
        <v>6</v>
      </c>
      <c r="C181" s="14" t="str">
        <f>'Option inputs'!C20</f>
        <v>Option 2C</v>
      </c>
      <c r="D181" s="26"/>
      <c r="E181" s="12" t="s">
        <v>35</v>
      </c>
      <c r="F181" s="18">
        <f t="shared" si="45"/>
        <v>15871585.236865053</v>
      </c>
      <c r="G181" s="17">
        <f>IFERROR('Option inputs'!$F20*(IF(Scenario_Select="Scenario 1",'CBA Inputs'!F$135-'CBA Inputs'!F141,0)+IF(Scenario_Select="Scenario 2",'CBA Inputs'!F$150-'CBA Inputs'!F156,0)+IF(Scenario_Select="Scenario 3",'CBA Inputs'!F$165-'CBA Inputs'!F171,0)+IF(Scenario_Select="Scenario 4",'CBA Inputs'!F$180-'CBA Inputs'!F186,0)),0)*G$55</f>
        <v>0</v>
      </c>
      <c r="H181" s="17">
        <f>IFERROR('Option inputs'!$F20*(IF(Scenario_Select="Scenario 1",'CBA Inputs'!G$135-'CBA Inputs'!G141,0)+IF(Scenario_Select="Scenario 2",'CBA Inputs'!G$150-'CBA Inputs'!G156,0)+IF(Scenario_Select="Scenario 3",'CBA Inputs'!G$165-'CBA Inputs'!G171,0)+IF(Scenario_Select="Scenario 4",'CBA Inputs'!G$180-'CBA Inputs'!G186,0)),0)*H$55</f>
        <v>-123</v>
      </c>
      <c r="I181" s="17">
        <f>IFERROR('Option inputs'!$F20*(IF(Scenario_Select="Scenario 1",'CBA Inputs'!H$135-'CBA Inputs'!H141,0)+IF(Scenario_Select="Scenario 2",'CBA Inputs'!H$150-'CBA Inputs'!H156,0)+IF(Scenario_Select="Scenario 3",'CBA Inputs'!H$165-'CBA Inputs'!H171,0)+IF(Scenario_Select="Scenario 4",'CBA Inputs'!H$180-'CBA Inputs'!H186,0)),0)*I$55</f>
        <v>-99</v>
      </c>
      <c r="J181" s="17">
        <f>IFERROR('Option inputs'!$F20*(IF(Scenario_Select="Scenario 1",'CBA Inputs'!I$135-'CBA Inputs'!I141,0)+IF(Scenario_Select="Scenario 2",'CBA Inputs'!I$150-'CBA Inputs'!I156,0)+IF(Scenario_Select="Scenario 3",'CBA Inputs'!I$165-'CBA Inputs'!I171,0)+IF(Scenario_Select="Scenario 4",'CBA Inputs'!I$180-'CBA Inputs'!I186,0)),0)*J$55</f>
        <v>-69</v>
      </c>
      <c r="K181" s="17">
        <f>IFERROR('Option inputs'!$F20*(IF(Scenario_Select="Scenario 1",'CBA Inputs'!J$135-'CBA Inputs'!J141,0)+IF(Scenario_Select="Scenario 2",'CBA Inputs'!J$150-'CBA Inputs'!J156,0)+IF(Scenario_Select="Scenario 3",'CBA Inputs'!J$165-'CBA Inputs'!J171,0)+IF(Scenario_Select="Scenario 4",'CBA Inputs'!J$180-'CBA Inputs'!J186,0)),0)*K$55</f>
        <v>-71</v>
      </c>
      <c r="L181" s="17">
        <f>IFERROR('Option inputs'!$F20*(IF(Scenario_Select="Scenario 1",'CBA Inputs'!K$135-'CBA Inputs'!K141,0)+IF(Scenario_Select="Scenario 2",'CBA Inputs'!K$150-'CBA Inputs'!K156,0)+IF(Scenario_Select="Scenario 3",'CBA Inputs'!K$165-'CBA Inputs'!K171,0)+IF(Scenario_Select="Scenario 4",'CBA Inputs'!K$180-'CBA Inputs'!K186,0)),0)*L$55</f>
        <v>-151</v>
      </c>
      <c r="M181" s="17">
        <f>IFERROR('Option inputs'!$F20*(IF(Scenario_Select="Scenario 1",'CBA Inputs'!L$135-'CBA Inputs'!L141,0)+IF(Scenario_Select="Scenario 2",'CBA Inputs'!L$150-'CBA Inputs'!L156,0)+IF(Scenario_Select="Scenario 3",'CBA Inputs'!L$165-'CBA Inputs'!L171,0)+IF(Scenario_Select="Scenario 4",'CBA Inputs'!L$180-'CBA Inputs'!L186,0)),0)*M$55</f>
        <v>-144</v>
      </c>
      <c r="N181" s="17">
        <f>IFERROR('Option inputs'!$F20*(IF(Scenario_Select="Scenario 1",'CBA Inputs'!M$135-'CBA Inputs'!M141,0)+IF(Scenario_Select="Scenario 2",'CBA Inputs'!M$150-'CBA Inputs'!M156,0)+IF(Scenario_Select="Scenario 3",'CBA Inputs'!M$165-'CBA Inputs'!M171,0)+IF(Scenario_Select="Scenario 4",'CBA Inputs'!M$180-'CBA Inputs'!M186,0)),0)*N$55</f>
        <v>0</v>
      </c>
      <c r="O181" s="17">
        <f>IFERROR('Option inputs'!$F20*(IF(Scenario_Select="Scenario 1",'CBA Inputs'!N$135-'CBA Inputs'!N141,0)+IF(Scenario_Select="Scenario 2",'CBA Inputs'!N$150-'CBA Inputs'!N156,0)+IF(Scenario_Select="Scenario 3",'CBA Inputs'!N$165-'CBA Inputs'!N171,0)+IF(Scenario_Select="Scenario 4",'CBA Inputs'!N$180-'CBA Inputs'!N186,0)),0)*O$55</f>
        <v>-99</v>
      </c>
      <c r="P181" s="17">
        <f>IFERROR('Option inputs'!$F20*(IF(Scenario_Select="Scenario 1",'CBA Inputs'!O$135-'CBA Inputs'!O141,0)+IF(Scenario_Select="Scenario 2",'CBA Inputs'!O$150-'CBA Inputs'!O156,0)+IF(Scenario_Select="Scenario 3",'CBA Inputs'!O$165-'CBA Inputs'!O171,0)+IF(Scenario_Select="Scenario 4",'CBA Inputs'!O$180-'CBA Inputs'!O186,0)),0)*P$55</f>
        <v>-442</v>
      </c>
      <c r="Q181" s="17">
        <f>IFERROR('Option inputs'!$F20*(IF(Scenario_Select="Scenario 1",'CBA Inputs'!P$135-'CBA Inputs'!P141,0)+IF(Scenario_Select="Scenario 2",'CBA Inputs'!P$150-'CBA Inputs'!P156,0)+IF(Scenario_Select="Scenario 3",'CBA Inputs'!P$165-'CBA Inputs'!P171,0)+IF(Scenario_Select="Scenario 4",'CBA Inputs'!P$180-'CBA Inputs'!P186,0)),0)*Q$55</f>
        <v>215392513</v>
      </c>
      <c r="R181" s="17">
        <f>IFERROR('Option inputs'!$F20*(IF(Scenario_Select="Scenario 1",'CBA Inputs'!Q$135-'CBA Inputs'!Q141,0)+IF(Scenario_Select="Scenario 2",'CBA Inputs'!Q$150-'CBA Inputs'!Q156,0)+IF(Scenario_Select="Scenario 3",'CBA Inputs'!Q$165-'CBA Inputs'!Q171,0)+IF(Scenario_Select="Scenario 4",'CBA Inputs'!Q$180-'CBA Inputs'!Q186,0)),0)*R$55</f>
        <v>870</v>
      </c>
      <c r="S181" s="17">
        <f>IFERROR('Option inputs'!$F20*(IF(Scenario_Select="Scenario 1",'CBA Inputs'!R$135-'CBA Inputs'!R141,0)+IF(Scenario_Select="Scenario 2",'CBA Inputs'!R$150-'CBA Inputs'!R156,0)+IF(Scenario_Select="Scenario 3",'CBA Inputs'!R$165-'CBA Inputs'!R171,0)+IF(Scenario_Select="Scenario 4",'CBA Inputs'!R$180-'CBA Inputs'!R186,0)),0)*S$55</f>
        <v>28823759</v>
      </c>
      <c r="T181" s="17">
        <f>IFERROR('Option inputs'!$F20*(IF(Scenario_Select="Scenario 1",'CBA Inputs'!S$135-'CBA Inputs'!S141,0)+IF(Scenario_Select="Scenario 2",'CBA Inputs'!S$150-'CBA Inputs'!S156,0)+IF(Scenario_Select="Scenario 3",'CBA Inputs'!S$165-'CBA Inputs'!S171,0)+IF(Scenario_Select="Scenario 4",'CBA Inputs'!S$180-'CBA Inputs'!S186,0)),0)*T$55</f>
        <v>24095980</v>
      </c>
      <c r="U181" s="17">
        <f>IFERROR('Option inputs'!$F20*(IF(Scenario_Select="Scenario 1",'CBA Inputs'!T$135-'CBA Inputs'!T141,0)+IF(Scenario_Select="Scenario 2",'CBA Inputs'!T$150-'CBA Inputs'!T156,0)+IF(Scenario_Select="Scenario 3",'CBA Inputs'!T$165-'CBA Inputs'!T171,0)+IF(Scenario_Select="Scenario 4",'CBA Inputs'!T$180-'CBA Inputs'!T186,0)),0)*U$55</f>
        <v>-32597100</v>
      </c>
      <c r="V181" s="17">
        <f>IFERROR('Option inputs'!$F20*(IF(Scenario_Select="Scenario 1",'CBA Inputs'!U$135-'CBA Inputs'!U141,0)+IF(Scenario_Select="Scenario 2",'CBA Inputs'!U$150-'CBA Inputs'!U156,0)+IF(Scenario_Select="Scenario 3",'CBA Inputs'!U$165-'CBA Inputs'!U171,0)+IF(Scenario_Select="Scenario 4",'CBA Inputs'!U$180-'CBA Inputs'!U186,0)),0)*V$55</f>
        <v>11950014</v>
      </c>
      <c r="W181" s="17">
        <f>IFERROR('Option inputs'!$F20*(IF(Scenario_Select="Scenario 1",'CBA Inputs'!V$135-'CBA Inputs'!V141,0)+IF(Scenario_Select="Scenario 2",'CBA Inputs'!V$150-'CBA Inputs'!V156,0)+IF(Scenario_Select="Scenario 3",'CBA Inputs'!V$165-'CBA Inputs'!V171,0)+IF(Scenario_Select="Scenario 4",'CBA Inputs'!V$180-'CBA Inputs'!V186,0)),0)*W$55</f>
        <v>-181964392</v>
      </c>
      <c r="X181" s="17">
        <f>IFERROR('Option inputs'!$F20*(IF(Scenario_Select="Scenario 1",'CBA Inputs'!W$135-'CBA Inputs'!W141,0)+IF(Scenario_Select="Scenario 2",'CBA Inputs'!W$150-'CBA Inputs'!W156,0)+IF(Scenario_Select="Scenario 3",'CBA Inputs'!W$165-'CBA Inputs'!W171,0)+IF(Scenario_Select="Scenario 4",'CBA Inputs'!W$180-'CBA Inputs'!W186,0)),0)*X$55</f>
        <v>96549140</v>
      </c>
      <c r="Y181" s="17">
        <f>IFERROR('Option inputs'!$F20*(IF(Scenario_Select="Scenario 1",'CBA Inputs'!X$135-'CBA Inputs'!X141,0)+IF(Scenario_Select="Scenario 2",'CBA Inputs'!X$150-'CBA Inputs'!X156,0)+IF(Scenario_Select="Scenario 3",'CBA Inputs'!X$165-'CBA Inputs'!X171,0)+IF(Scenario_Select="Scenario 4",'CBA Inputs'!X$180-'CBA Inputs'!X186,0)),0)*Y$55</f>
        <v>-234057838</v>
      </c>
      <c r="Z181" s="17">
        <f>IFERROR('Option inputs'!$F20*(IF(Scenario_Select="Scenario 1",'CBA Inputs'!Y$135-'CBA Inputs'!Y141,0)+IF(Scenario_Select="Scenario 2",'CBA Inputs'!Y$150-'CBA Inputs'!Y156,0)+IF(Scenario_Select="Scenario 3",'CBA Inputs'!Y$165-'CBA Inputs'!Y171,0)+IF(Scenario_Select="Scenario 4",'CBA Inputs'!Y$180-'CBA Inputs'!Y186,0)),0)*Z$55</f>
        <v>23638372</v>
      </c>
      <c r="AA181" s="17">
        <f>IFERROR('Option inputs'!$F20*(IF(Scenario_Select="Scenario 1",'CBA Inputs'!Z$135-'CBA Inputs'!Z141,0)+IF(Scenario_Select="Scenario 2",'CBA Inputs'!Z$150-'CBA Inputs'!Z156,0)+IF(Scenario_Select="Scenario 3",'CBA Inputs'!Z$165-'CBA Inputs'!Z171,0)+IF(Scenario_Select="Scenario 4",'CBA Inputs'!Z$180-'CBA Inputs'!Z186,0)),0)*AA$55</f>
        <v>-8753480</v>
      </c>
      <c r="AB181" s="17">
        <f>IFERROR('Option inputs'!$F20*(IF(Scenario_Select="Scenario 1",'CBA Inputs'!AA$135-'CBA Inputs'!AA141,0)+IF(Scenario_Select="Scenario 2",'CBA Inputs'!AA$150-'CBA Inputs'!AA156,0)+IF(Scenario_Select="Scenario 3",'CBA Inputs'!AA$165-'CBA Inputs'!AA171,0)+IF(Scenario_Select="Scenario 4",'CBA Inputs'!AA$180-'CBA Inputs'!AA186,0)),0)*AB$55</f>
        <v>-41</v>
      </c>
      <c r="AC181" s="17">
        <f>IFERROR('Option inputs'!$F20*(IF(Scenario_Select="Scenario 1",'CBA Inputs'!AB$135-'CBA Inputs'!AB141,0)+IF(Scenario_Select="Scenario 2",'CBA Inputs'!AB$150-'CBA Inputs'!AB156,0)+IF(Scenario_Select="Scenario 3",'CBA Inputs'!AB$165-'CBA Inputs'!AB171,0)+IF(Scenario_Select="Scenario 4",'CBA Inputs'!AB$180-'CBA Inputs'!AB186,0)),0)*AC$55</f>
        <v>-14560276</v>
      </c>
      <c r="AD181" s="17">
        <f>IFERROR('Option inputs'!$F20*(IF(Scenario_Select="Scenario 1",'CBA Inputs'!AC$135-'CBA Inputs'!AC141,0)+IF(Scenario_Select="Scenario 2",'CBA Inputs'!AC$150-'CBA Inputs'!AC156,0)+IF(Scenario_Select="Scenario 3",'CBA Inputs'!AC$165-'CBA Inputs'!AC171,0)+IF(Scenario_Select="Scenario 4",'CBA Inputs'!AC$180-'CBA Inputs'!AC186,0)),0)*AD$55</f>
        <v>-16062079</v>
      </c>
      <c r="AE181" s="17">
        <f>IFERROR('Option inputs'!$F20*(IF(Scenario_Select="Scenario 1",'CBA Inputs'!AD$135-'CBA Inputs'!AD141,0)+IF(Scenario_Select="Scenario 2",'CBA Inputs'!AD$150-'CBA Inputs'!AD156,0)+IF(Scenario_Select="Scenario 3",'CBA Inputs'!AD$165-'CBA Inputs'!AD171,0)+IF(Scenario_Select="Scenario 4",'CBA Inputs'!AD$180-'CBA Inputs'!AD186,0)),0)*AE$55</f>
        <v>4356088</v>
      </c>
      <c r="AF181" s="17">
        <f>IFERROR('Option inputs'!$F20*(IF(Scenario_Select="Scenario 1",'CBA Inputs'!AE$135-'CBA Inputs'!AE141,0)+IF(Scenario_Select="Scenario 2",'CBA Inputs'!AE$150-'CBA Inputs'!AE156,0)+IF(Scenario_Select="Scenario 3",'CBA Inputs'!AE$165-'CBA Inputs'!AE171,0)+IF(Scenario_Select="Scenario 4",'CBA Inputs'!AE$180-'CBA Inputs'!AE186,0)),0)*AF$55</f>
        <v>-314791</v>
      </c>
      <c r="AG181" s="17">
        <f>IFERROR('Option inputs'!$F20*(IF(Scenario_Select="Scenario 1",'CBA Inputs'!AF$135-'CBA Inputs'!AF141,0)+IF(Scenario_Select="Scenario 2",'CBA Inputs'!AF$150-'CBA Inputs'!AF156,0)+IF(Scenario_Select="Scenario 3",'CBA Inputs'!AF$165-'CBA Inputs'!AF171,0)+IF(Scenario_Select="Scenario 4",'CBA Inputs'!AF$180-'CBA Inputs'!AF186,0)),0)*AG$55</f>
        <v>0</v>
      </c>
      <c r="AH181" s="17">
        <f>IFERROR('Option inputs'!$F20*(IF(Scenario_Select="Scenario 1",'CBA Inputs'!AG$135-'CBA Inputs'!AG141,0)+IF(Scenario_Select="Scenario 2",'CBA Inputs'!AG$150-'CBA Inputs'!AG156,0)+IF(Scenario_Select="Scenario 3",'CBA Inputs'!AG$165-'CBA Inputs'!AG171,0)+IF(Scenario_Select="Scenario 4",'CBA Inputs'!AG$180-'CBA Inputs'!AG186,0)),0)*AH$55</f>
        <v>0</v>
      </c>
      <c r="AI181" s="17">
        <f>IFERROR('Option inputs'!$F20*(IF(Scenario_Select="Scenario 1",'CBA Inputs'!AH$135-'CBA Inputs'!AH141,0)+IF(Scenario_Select="Scenario 2",'CBA Inputs'!AH$150-'CBA Inputs'!AH156,0)+IF(Scenario_Select="Scenario 3",'CBA Inputs'!AH$165-'CBA Inputs'!AH171,0)+IF(Scenario_Select="Scenario 4",'CBA Inputs'!AH$180-'CBA Inputs'!AH186,0)),0)*AI$55</f>
        <v>0</v>
      </c>
      <c r="AJ181" s="17">
        <f>IFERROR('Option inputs'!$F20*(IF(Scenario_Select="Scenario 1",'CBA Inputs'!AI$135-'CBA Inputs'!AI141,0)+IF(Scenario_Select="Scenario 2",'CBA Inputs'!AI$150-'CBA Inputs'!AI156,0)+IF(Scenario_Select="Scenario 3",'CBA Inputs'!AI$165-'CBA Inputs'!AI171,0)+IF(Scenario_Select="Scenario 4",'CBA Inputs'!AI$180-'CBA Inputs'!AI186,0)),0)*AJ$55</f>
        <v>0</v>
      </c>
    </row>
    <row r="182" spans="2:36" x14ac:dyDescent="0.35">
      <c r="B182" s="9">
        <f>'Option inputs'!B21</f>
        <v>7</v>
      </c>
      <c r="C182" s="14" t="str">
        <f>'Option inputs'!C21</f>
        <v>Option 3A</v>
      </c>
      <c r="D182" s="26"/>
      <c r="E182" s="12" t="s">
        <v>35</v>
      </c>
      <c r="F182" s="18">
        <f t="shared" si="45"/>
        <v>24988547.333906107</v>
      </c>
      <c r="G182" s="17">
        <f>IFERROR('Option inputs'!$F21*(IF(Scenario_Select="Scenario 1",'CBA Inputs'!F$135-'CBA Inputs'!F142,0)+IF(Scenario_Select="Scenario 2",'CBA Inputs'!F$150-'CBA Inputs'!F157,0)+IF(Scenario_Select="Scenario 3",'CBA Inputs'!F$165-'CBA Inputs'!F172,0)+IF(Scenario_Select="Scenario 4",'CBA Inputs'!F$180-'CBA Inputs'!F187,0)),0)*G$55</f>
        <v>0</v>
      </c>
      <c r="H182" s="17">
        <f>IFERROR('Option inputs'!$F21*(IF(Scenario_Select="Scenario 1",'CBA Inputs'!G$135-'CBA Inputs'!G142,0)+IF(Scenario_Select="Scenario 2",'CBA Inputs'!G$150-'CBA Inputs'!G157,0)+IF(Scenario_Select="Scenario 3",'CBA Inputs'!G$165-'CBA Inputs'!G172,0)+IF(Scenario_Select="Scenario 4",'CBA Inputs'!G$180-'CBA Inputs'!G187,0)),0)*H$55</f>
        <v>100</v>
      </c>
      <c r="I182" s="17">
        <f>IFERROR('Option inputs'!$F21*(IF(Scenario_Select="Scenario 1",'CBA Inputs'!H$135-'CBA Inputs'!H142,0)+IF(Scenario_Select="Scenario 2",'CBA Inputs'!H$150-'CBA Inputs'!H157,0)+IF(Scenario_Select="Scenario 3",'CBA Inputs'!H$165-'CBA Inputs'!H172,0)+IF(Scenario_Select="Scenario 4",'CBA Inputs'!H$180-'CBA Inputs'!H187,0)),0)*I$55</f>
        <v>-136</v>
      </c>
      <c r="J182" s="17">
        <f>IFERROR('Option inputs'!$F21*(IF(Scenario_Select="Scenario 1",'CBA Inputs'!I$135-'CBA Inputs'!I142,0)+IF(Scenario_Select="Scenario 2",'CBA Inputs'!I$150-'CBA Inputs'!I157,0)+IF(Scenario_Select="Scenario 3",'CBA Inputs'!I$165-'CBA Inputs'!I172,0)+IF(Scenario_Select="Scenario 4",'CBA Inputs'!I$180-'CBA Inputs'!I187,0)),0)*J$55</f>
        <v>30</v>
      </c>
      <c r="K182" s="17">
        <f>IFERROR('Option inputs'!$F21*(IF(Scenario_Select="Scenario 1",'CBA Inputs'!J$135-'CBA Inputs'!J142,0)+IF(Scenario_Select="Scenario 2",'CBA Inputs'!J$150-'CBA Inputs'!J157,0)+IF(Scenario_Select="Scenario 3",'CBA Inputs'!J$165-'CBA Inputs'!J172,0)+IF(Scenario_Select="Scenario 4",'CBA Inputs'!J$180-'CBA Inputs'!J187,0)),0)*K$55</f>
        <v>57</v>
      </c>
      <c r="L182" s="17">
        <f>IFERROR('Option inputs'!$F21*(IF(Scenario_Select="Scenario 1",'CBA Inputs'!K$135-'CBA Inputs'!K142,0)+IF(Scenario_Select="Scenario 2",'CBA Inputs'!K$150-'CBA Inputs'!K157,0)+IF(Scenario_Select="Scenario 3",'CBA Inputs'!K$165-'CBA Inputs'!K172,0)+IF(Scenario_Select="Scenario 4",'CBA Inputs'!K$180-'CBA Inputs'!K187,0)),0)*L$55</f>
        <v>11</v>
      </c>
      <c r="M182" s="17">
        <f>IFERROR('Option inputs'!$F21*(IF(Scenario_Select="Scenario 1",'CBA Inputs'!L$135-'CBA Inputs'!L142,0)+IF(Scenario_Select="Scenario 2",'CBA Inputs'!L$150-'CBA Inputs'!L157,0)+IF(Scenario_Select="Scenario 3",'CBA Inputs'!L$165-'CBA Inputs'!L172,0)+IF(Scenario_Select="Scenario 4",'CBA Inputs'!L$180-'CBA Inputs'!L187,0)),0)*M$55</f>
        <v>-61</v>
      </c>
      <c r="N182" s="17">
        <f>IFERROR('Option inputs'!$F21*(IF(Scenario_Select="Scenario 1",'CBA Inputs'!M$135-'CBA Inputs'!M142,0)+IF(Scenario_Select="Scenario 2",'CBA Inputs'!M$150-'CBA Inputs'!M157,0)+IF(Scenario_Select="Scenario 3",'CBA Inputs'!M$165-'CBA Inputs'!M172,0)+IF(Scenario_Select="Scenario 4",'CBA Inputs'!M$180-'CBA Inputs'!M187,0)),0)*N$55</f>
        <v>108</v>
      </c>
      <c r="O182" s="17">
        <f>IFERROR('Option inputs'!$F21*(IF(Scenario_Select="Scenario 1",'CBA Inputs'!N$135-'CBA Inputs'!N142,0)+IF(Scenario_Select="Scenario 2",'CBA Inputs'!N$150-'CBA Inputs'!N157,0)+IF(Scenario_Select="Scenario 3",'CBA Inputs'!N$165-'CBA Inputs'!N172,0)+IF(Scenario_Select="Scenario 4",'CBA Inputs'!N$180-'CBA Inputs'!N187,0)),0)*O$55</f>
        <v>-32</v>
      </c>
      <c r="P182" s="17">
        <f>IFERROR('Option inputs'!$F21*(IF(Scenario_Select="Scenario 1",'CBA Inputs'!O$135-'CBA Inputs'!O142,0)+IF(Scenario_Select="Scenario 2",'CBA Inputs'!O$150-'CBA Inputs'!O157,0)+IF(Scenario_Select="Scenario 3",'CBA Inputs'!O$165-'CBA Inputs'!O172,0)+IF(Scenario_Select="Scenario 4",'CBA Inputs'!O$180-'CBA Inputs'!O187,0)),0)*P$55</f>
        <v>-196</v>
      </c>
      <c r="Q182" s="17">
        <f>IFERROR('Option inputs'!$F21*(IF(Scenario_Select="Scenario 1",'CBA Inputs'!P$135-'CBA Inputs'!P142,0)+IF(Scenario_Select="Scenario 2",'CBA Inputs'!P$150-'CBA Inputs'!P157,0)+IF(Scenario_Select="Scenario 3",'CBA Inputs'!P$165-'CBA Inputs'!P172,0)+IF(Scenario_Select="Scenario 4",'CBA Inputs'!P$180-'CBA Inputs'!P187,0)),0)*Q$55</f>
        <v>74648377</v>
      </c>
      <c r="R182" s="17">
        <f>IFERROR('Option inputs'!$F21*(IF(Scenario_Select="Scenario 1",'CBA Inputs'!Q$135-'CBA Inputs'!Q142,0)+IF(Scenario_Select="Scenario 2",'CBA Inputs'!Q$150-'CBA Inputs'!Q157,0)+IF(Scenario_Select="Scenario 3",'CBA Inputs'!Q$165-'CBA Inputs'!Q172,0)+IF(Scenario_Select="Scenario 4",'CBA Inputs'!Q$180-'CBA Inputs'!Q187,0)),0)*R$55</f>
        <v>399</v>
      </c>
      <c r="S182" s="17">
        <f>IFERROR('Option inputs'!$F21*(IF(Scenario_Select="Scenario 1",'CBA Inputs'!R$135-'CBA Inputs'!R142,0)+IF(Scenario_Select="Scenario 2",'CBA Inputs'!R$150-'CBA Inputs'!R157,0)+IF(Scenario_Select="Scenario 3",'CBA Inputs'!R$165-'CBA Inputs'!R172,0)+IF(Scenario_Select="Scenario 4",'CBA Inputs'!R$180-'CBA Inputs'!R187,0)),0)*S$55</f>
        <v>42124508</v>
      </c>
      <c r="T182" s="17">
        <f>IFERROR('Option inputs'!$F21*(IF(Scenario_Select="Scenario 1",'CBA Inputs'!S$135-'CBA Inputs'!S142,0)+IF(Scenario_Select="Scenario 2",'CBA Inputs'!S$150-'CBA Inputs'!S157,0)+IF(Scenario_Select="Scenario 3",'CBA Inputs'!S$165-'CBA Inputs'!S172,0)+IF(Scenario_Select="Scenario 4",'CBA Inputs'!S$180-'CBA Inputs'!S187,0)),0)*T$55</f>
        <v>51016600</v>
      </c>
      <c r="U182" s="17">
        <f>IFERROR('Option inputs'!$F21*(IF(Scenario_Select="Scenario 1",'CBA Inputs'!T$135-'CBA Inputs'!T142,0)+IF(Scenario_Select="Scenario 2",'CBA Inputs'!T$150-'CBA Inputs'!T157,0)+IF(Scenario_Select="Scenario 3",'CBA Inputs'!T$165-'CBA Inputs'!T172,0)+IF(Scenario_Select="Scenario 4",'CBA Inputs'!T$180-'CBA Inputs'!T187,0)),0)*U$55</f>
        <v>-2038595</v>
      </c>
      <c r="V182" s="17">
        <f>IFERROR('Option inputs'!$F21*(IF(Scenario_Select="Scenario 1",'CBA Inputs'!U$135-'CBA Inputs'!U142,0)+IF(Scenario_Select="Scenario 2",'CBA Inputs'!U$150-'CBA Inputs'!U157,0)+IF(Scenario_Select="Scenario 3",'CBA Inputs'!U$165-'CBA Inputs'!U172,0)+IF(Scenario_Select="Scenario 4",'CBA Inputs'!U$180-'CBA Inputs'!U187,0)),0)*V$55</f>
        <v>96076</v>
      </c>
      <c r="W182" s="17">
        <f>IFERROR('Option inputs'!$F21*(IF(Scenario_Select="Scenario 1",'CBA Inputs'!V$135-'CBA Inputs'!V142,0)+IF(Scenario_Select="Scenario 2",'CBA Inputs'!V$150-'CBA Inputs'!V157,0)+IF(Scenario_Select="Scenario 3",'CBA Inputs'!V$165-'CBA Inputs'!V172,0)+IF(Scenario_Select="Scenario 4",'CBA Inputs'!V$180-'CBA Inputs'!V187,0)),0)*W$55</f>
        <v>-130975517</v>
      </c>
      <c r="X182" s="17">
        <f>IFERROR('Option inputs'!$F21*(IF(Scenario_Select="Scenario 1",'CBA Inputs'!W$135-'CBA Inputs'!W142,0)+IF(Scenario_Select="Scenario 2",'CBA Inputs'!W$150-'CBA Inputs'!W157,0)+IF(Scenario_Select="Scenario 3",'CBA Inputs'!W$165-'CBA Inputs'!W172,0)+IF(Scenario_Select="Scenario 4",'CBA Inputs'!W$180-'CBA Inputs'!W187,0)),0)*X$55</f>
        <v>103510160</v>
      </c>
      <c r="Y182" s="17">
        <f>IFERROR('Option inputs'!$F21*(IF(Scenario_Select="Scenario 1",'CBA Inputs'!X$135-'CBA Inputs'!X142,0)+IF(Scenario_Select="Scenario 2",'CBA Inputs'!X$150-'CBA Inputs'!X157,0)+IF(Scenario_Select="Scenario 3",'CBA Inputs'!X$165-'CBA Inputs'!X172,0)+IF(Scenario_Select="Scenario 4",'CBA Inputs'!X$180-'CBA Inputs'!X187,0)),0)*Y$55</f>
        <v>-117284003</v>
      </c>
      <c r="Z182" s="17">
        <f>IFERROR('Option inputs'!$F21*(IF(Scenario_Select="Scenario 1",'CBA Inputs'!Y$135-'CBA Inputs'!Y142,0)+IF(Scenario_Select="Scenario 2",'CBA Inputs'!Y$150-'CBA Inputs'!Y157,0)+IF(Scenario_Select="Scenario 3",'CBA Inputs'!Y$165-'CBA Inputs'!Y172,0)+IF(Scenario_Select="Scenario 4",'CBA Inputs'!Y$180-'CBA Inputs'!Y187,0)),0)*Z$55</f>
        <v>17123926</v>
      </c>
      <c r="AA182" s="17">
        <f>IFERROR('Option inputs'!$F21*(IF(Scenario_Select="Scenario 1",'CBA Inputs'!Z$135-'CBA Inputs'!Z142,0)+IF(Scenario_Select="Scenario 2",'CBA Inputs'!Z$150-'CBA Inputs'!Z157,0)+IF(Scenario_Select="Scenario 3",'CBA Inputs'!Z$165-'CBA Inputs'!Z172,0)+IF(Scenario_Select="Scenario 4",'CBA Inputs'!Z$180-'CBA Inputs'!Z187,0)),0)*AA$55</f>
        <v>-7854570</v>
      </c>
      <c r="AB182" s="17">
        <f>IFERROR('Option inputs'!$F21*(IF(Scenario_Select="Scenario 1",'CBA Inputs'!AA$135-'CBA Inputs'!AA142,0)+IF(Scenario_Select="Scenario 2",'CBA Inputs'!AA$150-'CBA Inputs'!AA157,0)+IF(Scenario_Select="Scenario 3",'CBA Inputs'!AA$165-'CBA Inputs'!AA172,0)+IF(Scenario_Select="Scenario 4",'CBA Inputs'!AA$180-'CBA Inputs'!AA187,0)),0)*AB$55</f>
        <v>-47</v>
      </c>
      <c r="AC182" s="17">
        <f>IFERROR('Option inputs'!$F21*(IF(Scenario_Select="Scenario 1",'CBA Inputs'!AB$135-'CBA Inputs'!AB142,0)+IF(Scenario_Select="Scenario 2",'CBA Inputs'!AB$150-'CBA Inputs'!AB157,0)+IF(Scenario_Select="Scenario 3",'CBA Inputs'!AB$165-'CBA Inputs'!AB172,0)+IF(Scenario_Select="Scenario 4",'CBA Inputs'!AB$180-'CBA Inputs'!AB187,0)),0)*AC$55</f>
        <v>-25045998</v>
      </c>
      <c r="AD182" s="17">
        <f>IFERROR('Option inputs'!$F21*(IF(Scenario_Select="Scenario 1",'CBA Inputs'!AC$135-'CBA Inputs'!AC142,0)+IF(Scenario_Select="Scenario 2",'CBA Inputs'!AC$150-'CBA Inputs'!AC157,0)+IF(Scenario_Select="Scenario 3",'CBA Inputs'!AC$165-'CBA Inputs'!AC172,0)+IF(Scenario_Select="Scenario 4",'CBA Inputs'!AC$180-'CBA Inputs'!AC187,0)),0)*AD$55</f>
        <v>-13975202</v>
      </c>
      <c r="AE182" s="17">
        <f>IFERROR('Option inputs'!$F21*(IF(Scenario_Select="Scenario 1",'CBA Inputs'!AD$135-'CBA Inputs'!AD142,0)+IF(Scenario_Select="Scenario 2",'CBA Inputs'!AD$150-'CBA Inputs'!AD157,0)+IF(Scenario_Select="Scenario 3",'CBA Inputs'!AD$165-'CBA Inputs'!AD172,0)+IF(Scenario_Select="Scenario 4",'CBA Inputs'!AD$180-'CBA Inputs'!AD187,0)),0)*AE$55</f>
        <v>4126667</v>
      </c>
      <c r="AF182" s="17">
        <f>IFERROR('Option inputs'!$F21*(IF(Scenario_Select="Scenario 1",'CBA Inputs'!AE$135-'CBA Inputs'!AE142,0)+IF(Scenario_Select="Scenario 2",'CBA Inputs'!AE$150-'CBA Inputs'!AE157,0)+IF(Scenario_Select="Scenario 3",'CBA Inputs'!AE$165-'CBA Inputs'!AE172,0)+IF(Scenario_Select="Scenario 4",'CBA Inputs'!AE$180-'CBA Inputs'!AE187,0)),0)*AF$55</f>
        <v>-13345</v>
      </c>
      <c r="AG182" s="17">
        <f>IFERROR('Option inputs'!$F21*(IF(Scenario_Select="Scenario 1",'CBA Inputs'!AF$135-'CBA Inputs'!AF142,0)+IF(Scenario_Select="Scenario 2",'CBA Inputs'!AF$150-'CBA Inputs'!AF157,0)+IF(Scenario_Select="Scenario 3",'CBA Inputs'!AF$165-'CBA Inputs'!AF172,0)+IF(Scenario_Select="Scenario 4",'CBA Inputs'!AF$180-'CBA Inputs'!AF187,0)),0)*AG$55</f>
        <v>0</v>
      </c>
      <c r="AH182" s="17">
        <f>IFERROR('Option inputs'!$F21*(IF(Scenario_Select="Scenario 1",'CBA Inputs'!AG$135-'CBA Inputs'!AG142,0)+IF(Scenario_Select="Scenario 2",'CBA Inputs'!AG$150-'CBA Inputs'!AG157,0)+IF(Scenario_Select="Scenario 3",'CBA Inputs'!AG$165-'CBA Inputs'!AG172,0)+IF(Scenario_Select="Scenario 4",'CBA Inputs'!AG$180-'CBA Inputs'!AG187,0)),0)*AH$55</f>
        <v>0</v>
      </c>
      <c r="AI182" s="17">
        <f>IFERROR('Option inputs'!$F21*(IF(Scenario_Select="Scenario 1",'CBA Inputs'!AH$135-'CBA Inputs'!AH142,0)+IF(Scenario_Select="Scenario 2",'CBA Inputs'!AH$150-'CBA Inputs'!AH157,0)+IF(Scenario_Select="Scenario 3",'CBA Inputs'!AH$165-'CBA Inputs'!AH172,0)+IF(Scenario_Select="Scenario 4",'CBA Inputs'!AH$180-'CBA Inputs'!AH187,0)),0)*AI$55</f>
        <v>0</v>
      </c>
      <c r="AJ182" s="17">
        <f>IFERROR('Option inputs'!$F21*(IF(Scenario_Select="Scenario 1",'CBA Inputs'!AI$135-'CBA Inputs'!AI142,0)+IF(Scenario_Select="Scenario 2",'CBA Inputs'!AI$150-'CBA Inputs'!AI157,0)+IF(Scenario_Select="Scenario 3",'CBA Inputs'!AI$165-'CBA Inputs'!AI172,0)+IF(Scenario_Select="Scenario 4",'CBA Inputs'!AI$180-'CBA Inputs'!AI187,0)),0)*AJ$55</f>
        <v>0</v>
      </c>
    </row>
    <row r="183" spans="2:36" x14ac:dyDescent="0.35">
      <c r="B183" s="9">
        <f>'Option inputs'!B22</f>
        <v>8</v>
      </c>
      <c r="C183" s="14" t="str">
        <f>'Option inputs'!C22</f>
        <v>Option 3B</v>
      </c>
      <c r="D183" s="26"/>
      <c r="E183" s="12" t="s">
        <v>35</v>
      </c>
      <c r="F183" s="18">
        <f t="shared" si="45"/>
        <v>18094882.993886858</v>
      </c>
      <c r="G183" s="17">
        <f>IFERROR('Option inputs'!$F22*(IF(Scenario_Select="Scenario 1",'CBA Inputs'!F$135-'CBA Inputs'!F143,0)+IF(Scenario_Select="Scenario 2",'CBA Inputs'!F$150-'CBA Inputs'!F158,0)+IF(Scenario_Select="Scenario 3",'CBA Inputs'!F$165-'CBA Inputs'!F173,0)+IF(Scenario_Select="Scenario 4",'CBA Inputs'!F$180-'CBA Inputs'!F188,0)),0)*G$55</f>
        <v>0</v>
      </c>
      <c r="H183" s="17">
        <f>IFERROR('Option inputs'!$F22*(IF(Scenario_Select="Scenario 1",'CBA Inputs'!G$135-'CBA Inputs'!G143,0)+IF(Scenario_Select="Scenario 2",'CBA Inputs'!G$150-'CBA Inputs'!G158,0)+IF(Scenario_Select="Scenario 3",'CBA Inputs'!G$165-'CBA Inputs'!G173,0)+IF(Scenario_Select="Scenario 4",'CBA Inputs'!G$180-'CBA Inputs'!G188,0)),0)*H$55</f>
        <v>546</v>
      </c>
      <c r="I183" s="17">
        <f>IFERROR('Option inputs'!$F22*(IF(Scenario_Select="Scenario 1",'CBA Inputs'!H$135-'CBA Inputs'!H143,0)+IF(Scenario_Select="Scenario 2",'CBA Inputs'!H$150-'CBA Inputs'!H158,0)+IF(Scenario_Select="Scenario 3",'CBA Inputs'!H$165-'CBA Inputs'!H173,0)+IF(Scenario_Select="Scenario 4",'CBA Inputs'!H$180-'CBA Inputs'!H188,0)),0)*I$55</f>
        <v>13</v>
      </c>
      <c r="J183" s="17">
        <f>IFERROR('Option inputs'!$F22*(IF(Scenario_Select="Scenario 1",'CBA Inputs'!I$135-'CBA Inputs'!I143,0)+IF(Scenario_Select="Scenario 2",'CBA Inputs'!I$150-'CBA Inputs'!I158,0)+IF(Scenario_Select="Scenario 3",'CBA Inputs'!I$165-'CBA Inputs'!I173,0)+IF(Scenario_Select="Scenario 4",'CBA Inputs'!I$180-'CBA Inputs'!I188,0)),0)*J$55</f>
        <v>8</v>
      </c>
      <c r="K183" s="17">
        <f>IFERROR('Option inputs'!$F22*(IF(Scenario_Select="Scenario 1",'CBA Inputs'!J$135-'CBA Inputs'!J143,0)+IF(Scenario_Select="Scenario 2",'CBA Inputs'!J$150-'CBA Inputs'!J158,0)+IF(Scenario_Select="Scenario 3",'CBA Inputs'!J$165-'CBA Inputs'!J173,0)+IF(Scenario_Select="Scenario 4",'CBA Inputs'!J$180-'CBA Inputs'!J188,0)),0)*K$55</f>
        <v>164</v>
      </c>
      <c r="L183" s="17">
        <f>IFERROR('Option inputs'!$F22*(IF(Scenario_Select="Scenario 1",'CBA Inputs'!K$135-'CBA Inputs'!K143,0)+IF(Scenario_Select="Scenario 2",'CBA Inputs'!K$150-'CBA Inputs'!K158,0)+IF(Scenario_Select="Scenario 3",'CBA Inputs'!K$165-'CBA Inputs'!K173,0)+IF(Scenario_Select="Scenario 4",'CBA Inputs'!K$180-'CBA Inputs'!K188,0)),0)*L$55</f>
        <v>104</v>
      </c>
      <c r="M183" s="17">
        <f>IFERROR('Option inputs'!$F22*(IF(Scenario_Select="Scenario 1",'CBA Inputs'!L$135-'CBA Inputs'!L143,0)+IF(Scenario_Select="Scenario 2",'CBA Inputs'!L$150-'CBA Inputs'!L158,0)+IF(Scenario_Select="Scenario 3",'CBA Inputs'!L$165-'CBA Inputs'!L173,0)+IF(Scenario_Select="Scenario 4",'CBA Inputs'!L$180-'CBA Inputs'!L188,0)),0)*M$55</f>
        <v>1</v>
      </c>
      <c r="N183" s="17">
        <f>IFERROR('Option inputs'!$F22*(IF(Scenario_Select="Scenario 1",'CBA Inputs'!M$135-'CBA Inputs'!M143,0)+IF(Scenario_Select="Scenario 2",'CBA Inputs'!M$150-'CBA Inputs'!M158,0)+IF(Scenario_Select="Scenario 3",'CBA Inputs'!M$165-'CBA Inputs'!M173,0)+IF(Scenario_Select="Scenario 4",'CBA Inputs'!M$180-'CBA Inputs'!M188,0)),0)*N$55</f>
        <v>224</v>
      </c>
      <c r="O183" s="17">
        <f>IFERROR('Option inputs'!$F22*(IF(Scenario_Select="Scenario 1",'CBA Inputs'!N$135-'CBA Inputs'!N143,0)+IF(Scenario_Select="Scenario 2",'CBA Inputs'!N$150-'CBA Inputs'!N158,0)+IF(Scenario_Select="Scenario 3",'CBA Inputs'!N$165-'CBA Inputs'!N173,0)+IF(Scenario_Select="Scenario 4",'CBA Inputs'!N$180-'CBA Inputs'!N188,0)),0)*O$55</f>
        <v>63</v>
      </c>
      <c r="P183" s="17">
        <f>IFERROR('Option inputs'!$F22*(IF(Scenario_Select="Scenario 1",'CBA Inputs'!O$135-'CBA Inputs'!O143,0)+IF(Scenario_Select="Scenario 2",'CBA Inputs'!O$150-'CBA Inputs'!O158,0)+IF(Scenario_Select="Scenario 3",'CBA Inputs'!O$165-'CBA Inputs'!O173,0)+IF(Scenario_Select="Scenario 4",'CBA Inputs'!O$180-'CBA Inputs'!O188,0)),0)*P$55</f>
        <v>40</v>
      </c>
      <c r="Q183" s="17">
        <f>IFERROR('Option inputs'!$F22*(IF(Scenario_Select="Scenario 1",'CBA Inputs'!P$135-'CBA Inputs'!P143,0)+IF(Scenario_Select="Scenario 2",'CBA Inputs'!P$150-'CBA Inputs'!P158,0)+IF(Scenario_Select="Scenario 3",'CBA Inputs'!P$165-'CBA Inputs'!P173,0)+IF(Scenario_Select="Scenario 4",'CBA Inputs'!P$180-'CBA Inputs'!P188,0)),0)*Q$55</f>
        <v>215392832</v>
      </c>
      <c r="R183" s="17">
        <f>IFERROR('Option inputs'!$F22*(IF(Scenario_Select="Scenario 1",'CBA Inputs'!Q$135-'CBA Inputs'!Q143,0)+IF(Scenario_Select="Scenario 2",'CBA Inputs'!Q$150-'CBA Inputs'!Q158,0)+IF(Scenario_Select="Scenario 3",'CBA Inputs'!Q$165-'CBA Inputs'!Q173,0)+IF(Scenario_Select="Scenario 4",'CBA Inputs'!Q$180-'CBA Inputs'!Q188,0)),0)*R$55</f>
        <v>1091</v>
      </c>
      <c r="S183" s="17">
        <f>IFERROR('Option inputs'!$F22*(IF(Scenario_Select="Scenario 1",'CBA Inputs'!R$135-'CBA Inputs'!R143,0)+IF(Scenario_Select="Scenario 2",'CBA Inputs'!R$150-'CBA Inputs'!R158,0)+IF(Scenario_Select="Scenario 3",'CBA Inputs'!R$165-'CBA Inputs'!R173,0)+IF(Scenario_Select="Scenario 4",'CBA Inputs'!R$180-'CBA Inputs'!R188,0)),0)*S$55</f>
        <v>24068311</v>
      </c>
      <c r="T183" s="17">
        <f>IFERROR('Option inputs'!$F22*(IF(Scenario_Select="Scenario 1",'CBA Inputs'!S$135-'CBA Inputs'!S143,0)+IF(Scenario_Select="Scenario 2",'CBA Inputs'!S$150-'CBA Inputs'!S158,0)+IF(Scenario_Select="Scenario 3",'CBA Inputs'!S$165-'CBA Inputs'!S173,0)+IF(Scenario_Select="Scenario 4",'CBA Inputs'!S$180-'CBA Inputs'!S188,0)),0)*T$55</f>
        <v>25733625</v>
      </c>
      <c r="U183" s="17">
        <f>IFERROR('Option inputs'!$F22*(IF(Scenario_Select="Scenario 1",'CBA Inputs'!T$135-'CBA Inputs'!T143,0)+IF(Scenario_Select="Scenario 2",'CBA Inputs'!T$150-'CBA Inputs'!T158,0)+IF(Scenario_Select="Scenario 3",'CBA Inputs'!T$165-'CBA Inputs'!T173,0)+IF(Scenario_Select="Scenario 4",'CBA Inputs'!T$180-'CBA Inputs'!T188,0)),0)*U$55</f>
        <v>-36728127</v>
      </c>
      <c r="V183" s="17">
        <f>IFERROR('Option inputs'!$F22*(IF(Scenario_Select="Scenario 1",'CBA Inputs'!U$135-'CBA Inputs'!U143,0)+IF(Scenario_Select="Scenario 2",'CBA Inputs'!U$150-'CBA Inputs'!U158,0)+IF(Scenario_Select="Scenario 3",'CBA Inputs'!U$165-'CBA Inputs'!U173,0)+IF(Scenario_Select="Scenario 4",'CBA Inputs'!U$180-'CBA Inputs'!U188,0)),0)*V$55</f>
        <v>9901796</v>
      </c>
      <c r="W183" s="17">
        <f>IFERROR('Option inputs'!$F22*(IF(Scenario_Select="Scenario 1",'CBA Inputs'!V$135-'CBA Inputs'!V143,0)+IF(Scenario_Select="Scenario 2",'CBA Inputs'!V$150-'CBA Inputs'!V158,0)+IF(Scenario_Select="Scenario 3",'CBA Inputs'!V$165-'CBA Inputs'!V173,0)+IF(Scenario_Select="Scenario 4",'CBA Inputs'!V$180-'CBA Inputs'!V188,0)),0)*W$55</f>
        <v>-172838790</v>
      </c>
      <c r="X183" s="17">
        <f>IFERROR('Option inputs'!$F22*(IF(Scenario_Select="Scenario 1",'CBA Inputs'!W$135-'CBA Inputs'!W143,0)+IF(Scenario_Select="Scenario 2",'CBA Inputs'!W$150-'CBA Inputs'!W158,0)+IF(Scenario_Select="Scenario 3",'CBA Inputs'!W$165-'CBA Inputs'!W173,0)+IF(Scenario_Select="Scenario 4",'CBA Inputs'!W$180-'CBA Inputs'!W188,0)),0)*X$55</f>
        <v>96703552</v>
      </c>
      <c r="Y183" s="17">
        <f>IFERROR('Option inputs'!$F22*(IF(Scenario_Select="Scenario 1",'CBA Inputs'!X$135-'CBA Inputs'!X143,0)+IF(Scenario_Select="Scenario 2",'CBA Inputs'!X$150-'CBA Inputs'!X158,0)+IF(Scenario_Select="Scenario 3",'CBA Inputs'!X$165-'CBA Inputs'!X173,0)+IF(Scenario_Select="Scenario 4",'CBA Inputs'!X$180-'CBA Inputs'!X188,0)),0)*Y$55</f>
        <v>-216093807</v>
      </c>
      <c r="Z183" s="17">
        <f>IFERROR('Option inputs'!$F22*(IF(Scenario_Select="Scenario 1",'CBA Inputs'!Y$135-'CBA Inputs'!Y143,0)+IF(Scenario_Select="Scenario 2",'CBA Inputs'!Y$150-'CBA Inputs'!Y158,0)+IF(Scenario_Select="Scenario 3",'CBA Inputs'!Y$165-'CBA Inputs'!Y173,0)+IF(Scenario_Select="Scenario 4",'CBA Inputs'!Y$180-'CBA Inputs'!Y188,0)),0)*Z$55</f>
        <v>22069903</v>
      </c>
      <c r="AA183" s="17">
        <f>IFERROR('Option inputs'!$F22*(IF(Scenario_Select="Scenario 1",'CBA Inputs'!Z$135-'CBA Inputs'!Z143,0)+IF(Scenario_Select="Scenario 2",'CBA Inputs'!Z$150-'CBA Inputs'!Z158,0)+IF(Scenario_Select="Scenario 3",'CBA Inputs'!Z$165-'CBA Inputs'!Z173,0)+IF(Scenario_Select="Scenario 4",'CBA Inputs'!Z$180-'CBA Inputs'!Z188,0)),0)*AA$55</f>
        <v>-9619700</v>
      </c>
      <c r="AB183" s="17">
        <f>IFERROR('Option inputs'!$F22*(IF(Scenario_Select="Scenario 1",'CBA Inputs'!AA$135-'CBA Inputs'!AA143,0)+IF(Scenario_Select="Scenario 2",'CBA Inputs'!AA$150-'CBA Inputs'!AA158,0)+IF(Scenario_Select="Scenario 3",'CBA Inputs'!AA$165-'CBA Inputs'!AA173,0)+IF(Scenario_Select="Scenario 4",'CBA Inputs'!AA$180-'CBA Inputs'!AA188,0)),0)*AB$55</f>
        <v>-32</v>
      </c>
      <c r="AC183" s="17">
        <f>IFERROR('Option inputs'!$F22*(IF(Scenario_Select="Scenario 1",'CBA Inputs'!AB$135-'CBA Inputs'!AB143,0)+IF(Scenario_Select="Scenario 2",'CBA Inputs'!AB$150-'CBA Inputs'!AB158,0)+IF(Scenario_Select="Scenario 3",'CBA Inputs'!AB$165-'CBA Inputs'!AB173,0)+IF(Scenario_Select="Scenario 4",'CBA Inputs'!AB$180-'CBA Inputs'!AB188,0)),0)*AC$55</f>
        <v>-24754356</v>
      </c>
      <c r="AD183" s="17">
        <f>IFERROR('Option inputs'!$F22*(IF(Scenario_Select="Scenario 1",'CBA Inputs'!AC$135-'CBA Inputs'!AC143,0)+IF(Scenario_Select="Scenario 2",'CBA Inputs'!AC$150-'CBA Inputs'!AC158,0)+IF(Scenario_Select="Scenario 3",'CBA Inputs'!AC$165-'CBA Inputs'!AC173,0)+IF(Scenario_Select="Scenario 4",'CBA Inputs'!AC$180-'CBA Inputs'!AC188,0)),0)*AD$55</f>
        <v>-15981232</v>
      </c>
      <c r="AE183" s="17">
        <f>IFERROR('Option inputs'!$F22*(IF(Scenario_Select="Scenario 1",'CBA Inputs'!AD$135-'CBA Inputs'!AD143,0)+IF(Scenario_Select="Scenario 2",'CBA Inputs'!AD$150-'CBA Inputs'!AD158,0)+IF(Scenario_Select="Scenario 3",'CBA Inputs'!AD$165-'CBA Inputs'!AD173,0)+IF(Scenario_Select="Scenario 4",'CBA Inputs'!AD$180-'CBA Inputs'!AD188,0)),0)*AE$55</f>
        <v>4162219</v>
      </c>
      <c r="AF183" s="17">
        <f>IFERROR('Option inputs'!$F22*(IF(Scenario_Select="Scenario 1",'CBA Inputs'!AE$135-'CBA Inputs'!AE143,0)+IF(Scenario_Select="Scenario 2",'CBA Inputs'!AE$150-'CBA Inputs'!AE158,0)+IF(Scenario_Select="Scenario 3",'CBA Inputs'!AE$165-'CBA Inputs'!AE173,0)+IF(Scenario_Select="Scenario 4",'CBA Inputs'!AE$180-'CBA Inputs'!AE188,0)),0)*AF$55</f>
        <v>374570</v>
      </c>
      <c r="AG183" s="17">
        <f>IFERROR('Option inputs'!$F22*(IF(Scenario_Select="Scenario 1",'CBA Inputs'!AF$135-'CBA Inputs'!AF143,0)+IF(Scenario_Select="Scenario 2",'CBA Inputs'!AF$150-'CBA Inputs'!AF158,0)+IF(Scenario_Select="Scenario 3",'CBA Inputs'!AF$165-'CBA Inputs'!AF173,0)+IF(Scenario_Select="Scenario 4",'CBA Inputs'!AF$180-'CBA Inputs'!AF188,0)),0)*AG$55</f>
        <v>0</v>
      </c>
      <c r="AH183" s="17">
        <f>IFERROR('Option inputs'!$F22*(IF(Scenario_Select="Scenario 1",'CBA Inputs'!AG$135-'CBA Inputs'!AG143,0)+IF(Scenario_Select="Scenario 2",'CBA Inputs'!AG$150-'CBA Inputs'!AG158,0)+IF(Scenario_Select="Scenario 3",'CBA Inputs'!AG$165-'CBA Inputs'!AG173,0)+IF(Scenario_Select="Scenario 4",'CBA Inputs'!AG$180-'CBA Inputs'!AG188,0)),0)*AH$55</f>
        <v>0</v>
      </c>
      <c r="AI183" s="17">
        <f>IFERROR('Option inputs'!$F22*(IF(Scenario_Select="Scenario 1",'CBA Inputs'!AH$135-'CBA Inputs'!AH143,0)+IF(Scenario_Select="Scenario 2",'CBA Inputs'!AH$150-'CBA Inputs'!AH158,0)+IF(Scenario_Select="Scenario 3",'CBA Inputs'!AH$165-'CBA Inputs'!AH173,0)+IF(Scenario_Select="Scenario 4",'CBA Inputs'!AH$180-'CBA Inputs'!AH188,0)),0)*AI$55</f>
        <v>0</v>
      </c>
      <c r="AJ183" s="17">
        <f>IFERROR('Option inputs'!$F22*(IF(Scenario_Select="Scenario 1",'CBA Inputs'!AI$135-'CBA Inputs'!AI143,0)+IF(Scenario_Select="Scenario 2",'CBA Inputs'!AI$150-'CBA Inputs'!AI158,0)+IF(Scenario_Select="Scenario 3",'CBA Inputs'!AI$165-'CBA Inputs'!AI173,0)+IF(Scenario_Select="Scenario 4",'CBA Inputs'!AI$180-'CBA Inputs'!AI188,0)),0)*AJ$55</f>
        <v>0</v>
      </c>
    </row>
    <row r="184" spans="2:36" x14ac:dyDescent="0.35">
      <c r="B184" s="9">
        <f>'Option inputs'!B23</f>
        <v>9</v>
      </c>
      <c r="C184" s="14" t="str">
        <f>'Option inputs'!C23</f>
        <v>Option 3C</v>
      </c>
      <c r="D184" s="26"/>
      <c r="E184" s="12" t="s">
        <v>35</v>
      </c>
      <c r="F184" s="18">
        <f t="shared" si="45"/>
        <v>18094737.203167733</v>
      </c>
      <c r="G184" s="17">
        <f>IFERROR('Option inputs'!$F23*(IF(Scenario_Select="Scenario 1",'CBA Inputs'!F$135-'CBA Inputs'!F144,0)+IF(Scenario_Select="Scenario 2",'CBA Inputs'!F$150-'CBA Inputs'!F159,0)+IF(Scenario_Select="Scenario 3",'CBA Inputs'!F$165-'CBA Inputs'!F174,0)+IF(Scenario_Select="Scenario 4",'CBA Inputs'!F$180-'CBA Inputs'!F189,0)),0)*G$55</f>
        <v>0</v>
      </c>
      <c r="H184" s="17">
        <f>IFERROR('Option inputs'!$F23*(IF(Scenario_Select="Scenario 1",'CBA Inputs'!G$135-'CBA Inputs'!G144,0)+IF(Scenario_Select="Scenario 2",'CBA Inputs'!G$150-'CBA Inputs'!G159,0)+IF(Scenario_Select="Scenario 3",'CBA Inputs'!G$165-'CBA Inputs'!G174,0)+IF(Scenario_Select="Scenario 4",'CBA Inputs'!G$180-'CBA Inputs'!G189,0)),0)*H$55</f>
        <v>-1513</v>
      </c>
      <c r="I184" s="17">
        <f>IFERROR('Option inputs'!$F23*(IF(Scenario_Select="Scenario 1",'CBA Inputs'!H$135-'CBA Inputs'!H144,0)+IF(Scenario_Select="Scenario 2",'CBA Inputs'!H$150-'CBA Inputs'!H159,0)+IF(Scenario_Select="Scenario 3",'CBA Inputs'!H$165-'CBA Inputs'!H174,0)+IF(Scenario_Select="Scenario 4",'CBA Inputs'!H$180-'CBA Inputs'!H189,0)),0)*I$55</f>
        <v>-259</v>
      </c>
      <c r="J184" s="17">
        <f>IFERROR('Option inputs'!$F23*(IF(Scenario_Select="Scenario 1",'CBA Inputs'!I$135-'CBA Inputs'!I144,0)+IF(Scenario_Select="Scenario 2",'CBA Inputs'!I$150-'CBA Inputs'!I159,0)+IF(Scenario_Select="Scenario 3",'CBA Inputs'!I$165-'CBA Inputs'!I174,0)+IF(Scenario_Select="Scenario 4",'CBA Inputs'!I$180-'CBA Inputs'!I189,0)),0)*J$55</f>
        <v>-86</v>
      </c>
      <c r="K184" s="17">
        <f>IFERROR('Option inputs'!$F23*(IF(Scenario_Select="Scenario 1",'CBA Inputs'!J$135-'CBA Inputs'!J144,0)+IF(Scenario_Select="Scenario 2",'CBA Inputs'!J$150-'CBA Inputs'!J159,0)+IF(Scenario_Select="Scenario 3",'CBA Inputs'!J$165-'CBA Inputs'!J174,0)+IF(Scenario_Select="Scenario 4",'CBA Inputs'!J$180-'CBA Inputs'!J189,0)),0)*K$55</f>
        <v>-258</v>
      </c>
      <c r="L184" s="17">
        <f>IFERROR('Option inputs'!$F23*(IF(Scenario_Select="Scenario 1",'CBA Inputs'!K$135-'CBA Inputs'!K144,0)+IF(Scenario_Select="Scenario 2",'CBA Inputs'!K$150-'CBA Inputs'!K159,0)+IF(Scenario_Select="Scenario 3",'CBA Inputs'!K$165-'CBA Inputs'!K174,0)+IF(Scenario_Select="Scenario 4",'CBA Inputs'!K$180-'CBA Inputs'!K189,0)),0)*L$55</f>
        <v>-288</v>
      </c>
      <c r="M184" s="17">
        <f>IFERROR('Option inputs'!$F23*(IF(Scenario_Select="Scenario 1",'CBA Inputs'!L$135-'CBA Inputs'!L144,0)+IF(Scenario_Select="Scenario 2",'CBA Inputs'!L$150-'CBA Inputs'!L159,0)+IF(Scenario_Select="Scenario 3",'CBA Inputs'!L$165-'CBA Inputs'!L174,0)+IF(Scenario_Select="Scenario 4",'CBA Inputs'!L$180-'CBA Inputs'!L189,0)),0)*M$55</f>
        <v>-360</v>
      </c>
      <c r="N184" s="17">
        <f>IFERROR('Option inputs'!$F23*(IF(Scenario_Select="Scenario 1",'CBA Inputs'!M$135-'CBA Inputs'!M144,0)+IF(Scenario_Select="Scenario 2",'CBA Inputs'!M$150-'CBA Inputs'!M159,0)+IF(Scenario_Select="Scenario 3",'CBA Inputs'!M$165-'CBA Inputs'!M174,0)+IF(Scenario_Select="Scenario 4",'CBA Inputs'!M$180-'CBA Inputs'!M189,0)),0)*N$55</f>
        <v>-33</v>
      </c>
      <c r="O184" s="17">
        <f>IFERROR('Option inputs'!$F23*(IF(Scenario_Select="Scenario 1",'CBA Inputs'!N$135-'CBA Inputs'!N144,0)+IF(Scenario_Select="Scenario 2",'CBA Inputs'!N$150-'CBA Inputs'!N159,0)+IF(Scenario_Select="Scenario 3",'CBA Inputs'!N$165-'CBA Inputs'!N174,0)+IF(Scenario_Select="Scenario 4",'CBA Inputs'!N$180-'CBA Inputs'!N189,0)),0)*O$55</f>
        <v>-215</v>
      </c>
      <c r="P184" s="17">
        <f>IFERROR('Option inputs'!$F23*(IF(Scenario_Select="Scenario 1",'CBA Inputs'!O$135-'CBA Inputs'!O144,0)+IF(Scenario_Select="Scenario 2",'CBA Inputs'!O$150-'CBA Inputs'!O159,0)+IF(Scenario_Select="Scenario 3",'CBA Inputs'!O$165-'CBA Inputs'!O174,0)+IF(Scenario_Select="Scenario 4",'CBA Inputs'!O$180-'CBA Inputs'!O189,0)),0)*P$55</f>
        <v>-493</v>
      </c>
      <c r="Q184" s="17">
        <f>IFERROR('Option inputs'!$F23*(IF(Scenario_Select="Scenario 1",'CBA Inputs'!P$135-'CBA Inputs'!P144,0)+IF(Scenario_Select="Scenario 2",'CBA Inputs'!P$150-'CBA Inputs'!P159,0)+IF(Scenario_Select="Scenario 3",'CBA Inputs'!P$165-'CBA Inputs'!P174,0)+IF(Scenario_Select="Scenario 4",'CBA Inputs'!P$180-'CBA Inputs'!P189,0)),0)*Q$55</f>
        <v>215392163</v>
      </c>
      <c r="R184" s="17">
        <f>IFERROR('Option inputs'!$F23*(IF(Scenario_Select="Scenario 1",'CBA Inputs'!Q$135-'CBA Inputs'!Q144,0)+IF(Scenario_Select="Scenario 2",'CBA Inputs'!Q$150-'CBA Inputs'!Q159,0)+IF(Scenario_Select="Scenario 3",'CBA Inputs'!Q$165-'CBA Inputs'!Q174,0)+IF(Scenario_Select="Scenario 4",'CBA Inputs'!Q$180-'CBA Inputs'!Q189,0)),0)*R$55</f>
        <v>687</v>
      </c>
      <c r="S184" s="17">
        <f>IFERROR('Option inputs'!$F23*(IF(Scenario_Select="Scenario 1",'CBA Inputs'!R$135-'CBA Inputs'!R144,0)+IF(Scenario_Select="Scenario 2",'CBA Inputs'!R$150-'CBA Inputs'!R159,0)+IF(Scenario_Select="Scenario 3",'CBA Inputs'!R$165-'CBA Inputs'!R174,0)+IF(Scenario_Select="Scenario 4",'CBA Inputs'!R$180-'CBA Inputs'!R189,0)),0)*S$55</f>
        <v>24075164</v>
      </c>
      <c r="T184" s="17">
        <f>IFERROR('Option inputs'!$F23*(IF(Scenario_Select="Scenario 1",'CBA Inputs'!S$135-'CBA Inputs'!S144,0)+IF(Scenario_Select="Scenario 2",'CBA Inputs'!S$150-'CBA Inputs'!S159,0)+IF(Scenario_Select="Scenario 3",'CBA Inputs'!S$165-'CBA Inputs'!S174,0)+IF(Scenario_Select="Scenario 4",'CBA Inputs'!S$180-'CBA Inputs'!S189,0)),0)*T$55</f>
        <v>25663932</v>
      </c>
      <c r="U184" s="17">
        <f>IFERROR('Option inputs'!$F23*(IF(Scenario_Select="Scenario 1",'CBA Inputs'!T$135-'CBA Inputs'!T144,0)+IF(Scenario_Select="Scenario 2",'CBA Inputs'!T$150-'CBA Inputs'!T159,0)+IF(Scenario_Select="Scenario 3",'CBA Inputs'!T$165-'CBA Inputs'!T174,0)+IF(Scenario_Select="Scenario 4",'CBA Inputs'!T$180-'CBA Inputs'!T189,0)),0)*U$55</f>
        <v>-36675705</v>
      </c>
      <c r="V184" s="17">
        <f>IFERROR('Option inputs'!$F23*(IF(Scenario_Select="Scenario 1",'CBA Inputs'!U$135-'CBA Inputs'!U144,0)+IF(Scenario_Select="Scenario 2",'CBA Inputs'!U$150-'CBA Inputs'!U159,0)+IF(Scenario_Select="Scenario 3",'CBA Inputs'!U$165-'CBA Inputs'!U174,0)+IF(Scenario_Select="Scenario 4",'CBA Inputs'!U$180-'CBA Inputs'!U189,0)),0)*V$55</f>
        <v>9909084</v>
      </c>
      <c r="W184" s="17">
        <f>IFERROR('Option inputs'!$F23*(IF(Scenario_Select="Scenario 1",'CBA Inputs'!V$135-'CBA Inputs'!V144,0)+IF(Scenario_Select="Scenario 2",'CBA Inputs'!V$150-'CBA Inputs'!V159,0)+IF(Scenario_Select="Scenario 3",'CBA Inputs'!V$165-'CBA Inputs'!V174,0)+IF(Scenario_Select="Scenario 4",'CBA Inputs'!V$180-'CBA Inputs'!V189,0)),0)*W$55</f>
        <v>-172834735</v>
      </c>
      <c r="X184" s="17">
        <f>IFERROR('Option inputs'!$F23*(IF(Scenario_Select="Scenario 1",'CBA Inputs'!W$135-'CBA Inputs'!W144,0)+IF(Scenario_Select="Scenario 2",'CBA Inputs'!W$150-'CBA Inputs'!W159,0)+IF(Scenario_Select="Scenario 3",'CBA Inputs'!W$165-'CBA Inputs'!W174,0)+IF(Scenario_Select="Scenario 4",'CBA Inputs'!W$180-'CBA Inputs'!W189,0)),0)*X$55</f>
        <v>96689705</v>
      </c>
      <c r="Y184" s="17">
        <f>IFERROR('Option inputs'!$F23*(IF(Scenario_Select="Scenario 1",'CBA Inputs'!X$135-'CBA Inputs'!X144,0)+IF(Scenario_Select="Scenario 2",'CBA Inputs'!X$150-'CBA Inputs'!X159,0)+IF(Scenario_Select="Scenario 3",'CBA Inputs'!X$165-'CBA Inputs'!X174,0)+IF(Scenario_Select="Scenario 4",'CBA Inputs'!X$180-'CBA Inputs'!X189,0)),0)*Y$55</f>
        <v>-216072586</v>
      </c>
      <c r="Z184" s="17">
        <f>IFERROR('Option inputs'!$F23*(IF(Scenario_Select="Scenario 1",'CBA Inputs'!Y$135-'CBA Inputs'!Y144,0)+IF(Scenario_Select="Scenario 2",'CBA Inputs'!Y$150-'CBA Inputs'!Y159,0)+IF(Scenario_Select="Scenario 3",'CBA Inputs'!Y$165-'CBA Inputs'!Y174,0)+IF(Scenario_Select="Scenario 4",'CBA Inputs'!Y$180-'CBA Inputs'!Y189,0)),0)*Z$55</f>
        <v>22083425</v>
      </c>
      <c r="AA184" s="17">
        <f>IFERROR('Option inputs'!$F23*(IF(Scenario_Select="Scenario 1",'CBA Inputs'!Z$135-'CBA Inputs'!Z144,0)+IF(Scenario_Select="Scenario 2",'CBA Inputs'!Z$150-'CBA Inputs'!Z159,0)+IF(Scenario_Select="Scenario 3",'CBA Inputs'!Z$165-'CBA Inputs'!Z174,0)+IF(Scenario_Select="Scenario 4",'CBA Inputs'!Z$180-'CBA Inputs'!Z189,0)),0)*AA$55</f>
        <v>-9622217</v>
      </c>
      <c r="AB184" s="17">
        <f>IFERROR('Option inputs'!$F23*(IF(Scenario_Select="Scenario 1",'CBA Inputs'!AA$135-'CBA Inputs'!AA144,0)+IF(Scenario_Select="Scenario 2",'CBA Inputs'!AA$150-'CBA Inputs'!AA159,0)+IF(Scenario_Select="Scenario 3",'CBA Inputs'!AA$165-'CBA Inputs'!AA174,0)+IF(Scenario_Select="Scenario 4",'CBA Inputs'!AA$180-'CBA Inputs'!AA189,0)),0)*AB$55</f>
        <v>-59</v>
      </c>
      <c r="AC184" s="17">
        <f>IFERROR('Option inputs'!$F23*(IF(Scenario_Select="Scenario 1",'CBA Inputs'!AB$135-'CBA Inputs'!AB144,0)+IF(Scenario_Select="Scenario 2",'CBA Inputs'!AB$150-'CBA Inputs'!AB159,0)+IF(Scenario_Select="Scenario 3",'CBA Inputs'!AB$165-'CBA Inputs'!AB174,0)+IF(Scenario_Select="Scenario 4",'CBA Inputs'!AB$180-'CBA Inputs'!AB189,0)),0)*AC$55</f>
        <v>-24756000</v>
      </c>
      <c r="AD184" s="17">
        <f>IFERROR('Option inputs'!$F23*(IF(Scenario_Select="Scenario 1",'CBA Inputs'!AC$135-'CBA Inputs'!AC144,0)+IF(Scenario_Select="Scenario 2",'CBA Inputs'!AC$150-'CBA Inputs'!AC159,0)+IF(Scenario_Select="Scenario 3",'CBA Inputs'!AC$165-'CBA Inputs'!AC174,0)+IF(Scenario_Select="Scenario 4",'CBA Inputs'!AC$180-'CBA Inputs'!AC189,0)),0)*AD$55</f>
        <v>-15979387</v>
      </c>
      <c r="AE184" s="17">
        <f>IFERROR('Option inputs'!$F23*(IF(Scenario_Select="Scenario 1",'CBA Inputs'!AD$135-'CBA Inputs'!AD144,0)+IF(Scenario_Select="Scenario 2",'CBA Inputs'!AD$150-'CBA Inputs'!AD159,0)+IF(Scenario_Select="Scenario 3",'CBA Inputs'!AD$165-'CBA Inputs'!AD174,0)+IF(Scenario_Select="Scenario 4",'CBA Inputs'!AD$180-'CBA Inputs'!AD189,0)),0)*AE$55</f>
        <v>4160638</v>
      </c>
      <c r="AF184" s="17">
        <f>IFERROR('Option inputs'!$F23*(IF(Scenario_Select="Scenario 1",'CBA Inputs'!AE$135-'CBA Inputs'!AE144,0)+IF(Scenario_Select="Scenario 2",'CBA Inputs'!AE$150-'CBA Inputs'!AE159,0)+IF(Scenario_Select="Scenario 3",'CBA Inputs'!AE$165-'CBA Inputs'!AE174,0)+IF(Scenario_Select="Scenario 4",'CBA Inputs'!AE$180-'CBA Inputs'!AE189,0)),0)*AF$55</f>
        <v>374532</v>
      </c>
      <c r="AG184" s="17">
        <f>IFERROR('Option inputs'!$F23*(IF(Scenario_Select="Scenario 1",'CBA Inputs'!AF$135-'CBA Inputs'!AF144,0)+IF(Scenario_Select="Scenario 2",'CBA Inputs'!AF$150-'CBA Inputs'!AF159,0)+IF(Scenario_Select="Scenario 3",'CBA Inputs'!AF$165-'CBA Inputs'!AF174,0)+IF(Scenario_Select="Scenario 4",'CBA Inputs'!AF$180-'CBA Inputs'!AF189,0)),0)*AG$55</f>
        <v>0</v>
      </c>
      <c r="AH184" s="17">
        <f>IFERROR('Option inputs'!$F23*(IF(Scenario_Select="Scenario 1",'CBA Inputs'!AG$135-'CBA Inputs'!AG144,0)+IF(Scenario_Select="Scenario 2",'CBA Inputs'!AG$150-'CBA Inputs'!AG159,0)+IF(Scenario_Select="Scenario 3",'CBA Inputs'!AG$165-'CBA Inputs'!AG174,0)+IF(Scenario_Select="Scenario 4",'CBA Inputs'!AG$180-'CBA Inputs'!AG189,0)),0)*AH$55</f>
        <v>0</v>
      </c>
      <c r="AI184" s="17">
        <f>IFERROR('Option inputs'!$F23*(IF(Scenario_Select="Scenario 1",'CBA Inputs'!AH$135-'CBA Inputs'!AH144,0)+IF(Scenario_Select="Scenario 2",'CBA Inputs'!AH$150-'CBA Inputs'!AH159,0)+IF(Scenario_Select="Scenario 3",'CBA Inputs'!AH$165-'CBA Inputs'!AH174,0)+IF(Scenario_Select="Scenario 4",'CBA Inputs'!AH$180-'CBA Inputs'!AH189,0)),0)*AI$55</f>
        <v>0</v>
      </c>
      <c r="AJ184" s="17">
        <f>IFERROR('Option inputs'!$F23*(IF(Scenario_Select="Scenario 1",'CBA Inputs'!AI$135-'CBA Inputs'!AI144,0)+IF(Scenario_Select="Scenario 2",'CBA Inputs'!AI$150-'CBA Inputs'!AI159,0)+IF(Scenario_Select="Scenario 3",'CBA Inputs'!AI$165-'CBA Inputs'!AI174,0)+IF(Scenario_Select="Scenario 4",'CBA Inputs'!AI$180-'CBA Inputs'!AI189,0)),0)*AJ$55</f>
        <v>0</v>
      </c>
    </row>
    <row r="185" spans="2:36" x14ac:dyDescent="0.35">
      <c r="B185" s="9">
        <f>'Option inputs'!B24</f>
        <v>10</v>
      </c>
      <c r="C185" s="14" t="str">
        <f>'Option inputs'!C24</f>
        <v>Option 4A</v>
      </c>
      <c r="D185" s="26"/>
      <c r="E185" s="12" t="s">
        <v>35</v>
      </c>
      <c r="F185" s="18">
        <f t="shared" si="45"/>
        <v>22649280.068163775</v>
      </c>
      <c r="G185" s="17">
        <f>IFERROR('Option inputs'!$F24*(IF(Scenario_Select="Scenario 1",'CBA Inputs'!F$135-'CBA Inputs'!F145,0)+IF(Scenario_Select="Scenario 2",'CBA Inputs'!F$150-'CBA Inputs'!F160,0)+IF(Scenario_Select="Scenario 3",'CBA Inputs'!F$165-'CBA Inputs'!F175,0)+IF(Scenario_Select="Scenario 4",'CBA Inputs'!F$180-'CBA Inputs'!F190,0)),0)*G$55</f>
        <v>0</v>
      </c>
      <c r="H185" s="17">
        <f>IFERROR('Option inputs'!$F24*(IF(Scenario_Select="Scenario 1",'CBA Inputs'!G$135-'CBA Inputs'!G145,0)+IF(Scenario_Select="Scenario 2",'CBA Inputs'!G$150-'CBA Inputs'!G160,0)+IF(Scenario_Select="Scenario 3",'CBA Inputs'!G$165-'CBA Inputs'!G175,0)+IF(Scenario_Select="Scenario 4",'CBA Inputs'!G$180-'CBA Inputs'!G190,0)),0)*H$55</f>
        <v>68</v>
      </c>
      <c r="I185" s="17">
        <f>IFERROR('Option inputs'!$F24*(IF(Scenario_Select="Scenario 1",'CBA Inputs'!H$135-'CBA Inputs'!H145,0)+IF(Scenario_Select="Scenario 2",'CBA Inputs'!H$150-'CBA Inputs'!H160,0)+IF(Scenario_Select="Scenario 3",'CBA Inputs'!H$165-'CBA Inputs'!H175,0)+IF(Scenario_Select="Scenario 4",'CBA Inputs'!H$180-'CBA Inputs'!H190,0)),0)*I$55</f>
        <v>-47</v>
      </c>
      <c r="J185" s="17">
        <f>IFERROR('Option inputs'!$F24*(IF(Scenario_Select="Scenario 1",'CBA Inputs'!I$135-'CBA Inputs'!I145,0)+IF(Scenario_Select="Scenario 2",'CBA Inputs'!I$150-'CBA Inputs'!I160,0)+IF(Scenario_Select="Scenario 3",'CBA Inputs'!I$165-'CBA Inputs'!I175,0)+IF(Scenario_Select="Scenario 4",'CBA Inputs'!I$180-'CBA Inputs'!I190,0)),0)*J$55</f>
        <v>28</v>
      </c>
      <c r="K185" s="17">
        <f>IFERROR('Option inputs'!$F24*(IF(Scenario_Select="Scenario 1",'CBA Inputs'!J$135-'CBA Inputs'!J145,0)+IF(Scenario_Select="Scenario 2",'CBA Inputs'!J$150-'CBA Inputs'!J160,0)+IF(Scenario_Select="Scenario 3",'CBA Inputs'!J$165-'CBA Inputs'!J175,0)+IF(Scenario_Select="Scenario 4",'CBA Inputs'!J$180-'CBA Inputs'!J190,0)),0)*K$55</f>
        <v>2</v>
      </c>
      <c r="L185" s="17">
        <f>IFERROR('Option inputs'!$F24*(IF(Scenario_Select="Scenario 1",'CBA Inputs'!K$135-'CBA Inputs'!K145,0)+IF(Scenario_Select="Scenario 2",'CBA Inputs'!K$150-'CBA Inputs'!K160,0)+IF(Scenario_Select="Scenario 3",'CBA Inputs'!K$165-'CBA Inputs'!K175,0)+IF(Scenario_Select="Scenario 4",'CBA Inputs'!K$180-'CBA Inputs'!K190,0)),0)*L$55</f>
        <v>-20</v>
      </c>
      <c r="M185" s="17">
        <f>IFERROR('Option inputs'!$F24*(IF(Scenario_Select="Scenario 1",'CBA Inputs'!L$135-'CBA Inputs'!L145,0)+IF(Scenario_Select="Scenario 2",'CBA Inputs'!L$150-'CBA Inputs'!L160,0)+IF(Scenario_Select="Scenario 3",'CBA Inputs'!L$165-'CBA Inputs'!L175,0)+IF(Scenario_Select="Scenario 4",'CBA Inputs'!L$180-'CBA Inputs'!L190,0)),0)*M$55</f>
        <v>-173</v>
      </c>
      <c r="N185" s="17">
        <f>IFERROR('Option inputs'!$F24*(IF(Scenario_Select="Scenario 1",'CBA Inputs'!M$135-'CBA Inputs'!M145,0)+IF(Scenario_Select="Scenario 2",'CBA Inputs'!M$150-'CBA Inputs'!M160,0)+IF(Scenario_Select="Scenario 3",'CBA Inputs'!M$165-'CBA Inputs'!M175,0)+IF(Scenario_Select="Scenario 4",'CBA Inputs'!M$180-'CBA Inputs'!M190,0)),0)*N$55</f>
        <v>118</v>
      </c>
      <c r="O185" s="17">
        <f>IFERROR('Option inputs'!$F24*(IF(Scenario_Select="Scenario 1",'CBA Inputs'!N$135-'CBA Inputs'!N145,0)+IF(Scenario_Select="Scenario 2",'CBA Inputs'!N$150-'CBA Inputs'!N160,0)+IF(Scenario_Select="Scenario 3",'CBA Inputs'!N$165-'CBA Inputs'!N175,0)+IF(Scenario_Select="Scenario 4",'CBA Inputs'!N$180-'CBA Inputs'!N190,0)),0)*O$55</f>
        <v>-3</v>
      </c>
      <c r="P185" s="17">
        <f>IFERROR('Option inputs'!$F24*(IF(Scenario_Select="Scenario 1",'CBA Inputs'!O$135-'CBA Inputs'!O145,0)+IF(Scenario_Select="Scenario 2",'CBA Inputs'!O$150-'CBA Inputs'!O160,0)+IF(Scenario_Select="Scenario 3",'CBA Inputs'!O$165-'CBA Inputs'!O175,0)+IF(Scenario_Select="Scenario 4",'CBA Inputs'!O$180-'CBA Inputs'!O190,0)),0)*P$55</f>
        <v>-124</v>
      </c>
      <c r="Q185" s="17">
        <f>IFERROR('Option inputs'!$F24*(IF(Scenario_Select="Scenario 1",'CBA Inputs'!P$135-'CBA Inputs'!P145,0)+IF(Scenario_Select="Scenario 2",'CBA Inputs'!P$150-'CBA Inputs'!P160,0)+IF(Scenario_Select="Scenario 3",'CBA Inputs'!P$165-'CBA Inputs'!P175,0)+IF(Scenario_Select="Scenario 4",'CBA Inputs'!P$180-'CBA Inputs'!P190,0)),0)*Q$55</f>
        <v>90072043</v>
      </c>
      <c r="R185" s="17">
        <f>IFERROR('Option inputs'!$F24*(IF(Scenario_Select="Scenario 1",'CBA Inputs'!Q$135-'CBA Inputs'!Q145,0)+IF(Scenario_Select="Scenario 2",'CBA Inputs'!Q$150-'CBA Inputs'!Q160,0)+IF(Scenario_Select="Scenario 3",'CBA Inputs'!Q$165-'CBA Inputs'!Q175,0)+IF(Scenario_Select="Scenario 4",'CBA Inputs'!Q$180-'CBA Inputs'!Q190,0)),0)*R$55</f>
        <v>397</v>
      </c>
      <c r="S185" s="17">
        <f>IFERROR('Option inputs'!$F24*(IF(Scenario_Select="Scenario 1",'CBA Inputs'!R$135-'CBA Inputs'!R145,0)+IF(Scenario_Select="Scenario 2",'CBA Inputs'!R$150-'CBA Inputs'!R160,0)+IF(Scenario_Select="Scenario 3",'CBA Inputs'!R$165-'CBA Inputs'!R175,0)+IF(Scenario_Select="Scenario 4",'CBA Inputs'!R$180-'CBA Inputs'!R190,0)),0)*S$55</f>
        <v>58384387</v>
      </c>
      <c r="T185" s="17">
        <f>IFERROR('Option inputs'!$F24*(IF(Scenario_Select="Scenario 1",'CBA Inputs'!S$135-'CBA Inputs'!S145,0)+IF(Scenario_Select="Scenario 2",'CBA Inputs'!S$150-'CBA Inputs'!S160,0)+IF(Scenario_Select="Scenario 3",'CBA Inputs'!S$165-'CBA Inputs'!S175,0)+IF(Scenario_Select="Scenario 4",'CBA Inputs'!S$180-'CBA Inputs'!S190,0)),0)*T$55</f>
        <v>35445188</v>
      </c>
      <c r="U185" s="17">
        <f>IFERROR('Option inputs'!$F24*(IF(Scenario_Select="Scenario 1",'CBA Inputs'!T$135-'CBA Inputs'!T145,0)+IF(Scenario_Select="Scenario 2",'CBA Inputs'!T$150-'CBA Inputs'!T160,0)+IF(Scenario_Select="Scenario 3",'CBA Inputs'!T$165-'CBA Inputs'!T175,0)+IF(Scenario_Select="Scenario 4",'CBA Inputs'!T$180-'CBA Inputs'!T190,0)),0)*U$55</f>
        <v>-1801596</v>
      </c>
      <c r="V185" s="17">
        <f>IFERROR('Option inputs'!$F24*(IF(Scenario_Select="Scenario 1",'CBA Inputs'!U$135-'CBA Inputs'!U145,0)+IF(Scenario_Select="Scenario 2",'CBA Inputs'!U$150-'CBA Inputs'!U160,0)+IF(Scenario_Select="Scenario 3",'CBA Inputs'!U$165-'CBA Inputs'!U175,0)+IF(Scenario_Select="Scenario 4",'CBA Inputs'!U$180-'CBA Inputs'!U190,0)),0)*V$55</f>
        <v>-3083075</v>
      </c>
      <c r="W185" s="17">
        <f>IFERROR('Option inputs'!$F24*(IF(Scenario_Select="Scenario 1",'CBA Inputs'!V$135-'CBA Inputs'!V145,0)+IF(Scenario_Select="Scenario 2",'CBA Inputs'!V$150-'CBA Inputs'!V160,0)+IF(Scenario_Select="Scenario 3",'CBA Inputs'!V$165-'CBA Inputs'!V175,0)+IF(Scenario_Select="Scenario 4",'CBA Inputs'!V$180-'CBA Inputs'!V190,0)),0)*W$55</f>
        <v>-137205138</v>
      </c>
      <c r="X185" s="17">
        <f>IFERROR('Option inputs'!$F24*(IF(Scenario_Select="Scenario 1",'CBA Inputs'!W$135-'CBA Inputs'!W145,0)+IF(Scenario_Select="Scenario 2",'CBA Inputs'!W$150-'CBA Inputs'!W160,0)+IF(Scenario_Select="Scenario 3",'CBA Inputs'!W$165-'CBA Inputs'!W175,0)+IF(Scenario_Select="Scenario 4",'CBA Inputs'!W$180-'CBA Inputs'!W190,0)),0)*X$55</f>
        <v>102323235</v>
      </c>
      <c r="Y185" s="17">
        <f>IFERROR('Option inputs'!$F24*(IF(Scenario_Select="Scenario 1",'CBA Inputs'!X$135-'CBA Inputs'!X145,0)+IF(Scenario_Select="Scenario 2",'CBA Inputs'!X$150-'CBA Inputs'!X160,0)+IF(Scenario_Select="Scenario 3",'CBA Inputs'!X$165-'CBA Inputs'!X175,0)+IF(Scenario_Select="Scenario 4",'CBA Inputs'!X$180-'CBA Inputs'!X190,0)),0)*Y$55</f>
        <v>-138405705</v>
      </c>
      <c r="Z185" s="17">
        <f>IFERROR('Option inputs'!$F24*(IF(Scenario_Select="Scenario 1",'CBA Inputs'!Y$135-'CBA Inputs'!Y145,0)+IF(Scenario_Select="Scenario 2",'CBA Inputs'!Y$150-'CBA Inputs'!Y160,0)+IF(Scenario_Select="Scenario 3",'CBA Inputs'!Y$165-'CBA Inputs'!Y175,0)+IF(Scenario_Select="Scenario 4",'CBA Inputs'!Y$180-'CBA Inputs'!Y190,0)),0)*Z$55</f>
        <v>20333219</v>
      </c>
      <c r="AA185" s="17">
        <f>IFERROR('Option inputs'!$F24*(IF(Scenario_Select="Scenario 1",'CBA Inputs'!Z$135-'CBA Inputs'!Z145,0)+IF(Scenario_Select="Scenario 2",'CBA Inputs'!Z$150-'CBA Inputs'!Z160,0)+IF(Scenario_Select="Scenario 3",'CBA Inputs'!Z$165-'CBA Inputs'!Z175,0)+IF(Scenario_Select="Scenario 4",'CBA Inputs'!Z$180-'CBA Inputs'!Z190,0)),0)*AA$55</f>
        <v>-8137247</v>
      </c>
      <c r="AB185" s="17">
        <f>IFERROR('Option inputs'!$F24*(IF(Scenario_Select="Scenario 1",'CBA Inputs'!AA$135-'CBA Inputs'!AA145,0)+IF(Scenario_Select="Scenario 2",'CBA Inputs'!AA$150-'CBA Inputs'!AA160,0)+IF(Scenario_Select="Scenario 3",'CBA Inputs'!AA$165-'CBA Inputs'!AA175,0)+IF(Scenario_Select="Scenario 4",'CBA Inputs'!AA$180-'CBA Inputs'!AA190,0)),0)*AB$55</f>
        <v>-30</v>
      </c>
      <c r="AC185" s="17">
        <f>IFERROR('Option inputs'!$F24*(IF(Scenario_Select="Scenario 1",'CBA Inputs'!AB$135-'CBA Inputs'!AB145,0)+IF(Scenario_Select="Scenario 2",'CBA Inputs'!AB$150-'CBA Inputs'!AB160,0)+IF(Scenario_Select="Scenario 3",'CBA Inputs'!AB$165-'CBA Inputs'!AB175,0)+IF(Scenario_Select="Scenario 4",'CBA Inputs'!AB$180-'CBA Inputs'!AB190,0)),0)*AC$55</f>
        <v>-27073440</v>
      </c>
      <c r="AD185" s="17">
        <f>IFERROR('Option inputs'!$F24*(IF(Scenario_Select="Scenario 1",'CBA Inputs'!AC$135-'CBA Inputs'!AC145,0)+IF(Scenario_Select="Scenario 2",'CBA Inputs'!AC$150-'CBA Inputs'!AC160,0)+IF(Scenario_Select="Scenario 3",'CBA Inputs'!AC$165-'CBA Inputs'!AC175,0)+IF(Scenario_Select="Scenario 4",'CBA Inputs'!AC$180-'CBA Inputs'!AC190,0)),0)*AD$55</f>
        <v>-16352189</v>
      </c>
      <c r="AE185" s="17">
        <f>IFERROR('Option inputs'!$F24*(IF(Scenario_Select="Scenario 1",'CBA Inputs'!AD$135-'CBA Inputs'!AD145,0)+IF(Scenario_Select="Scenario 2",'CBA Inputs'!AD$150-'CBA Inputs'!AD160,0)+IF(Scenario_Select="Scenario 3",'CBA Inputs'!AD$165-'CBA Inputs'!AD175,0)+IF(Scenario_Select="Scenario 4",'CBA Inputs'!AD$180-'CBA Inputs'!AD190,0)),0)*AE$55</f>
        <v>4498057</v>
      </c>
      <c r="AF185" s="17">
        <f>IFERROR('Option inputs'!$F24*(IF(Scenario_Select="Scenario 1",'CBA Inputs'!AE$135-'CBA Inputs'!AE145,0)+IF(Scenario_Select="Scenario 2",'CBA Inputs'!AE$150-'CBA Inputs'!AE160,0)+IF(Scenario_Select="Scenario 3",'CBA Inputs'!AE$165-'CBA Inputs'!AE175,0)+IF(Scenario_Select="Scenario 4",'CBA Inputs'!AE$180-'CBA Inputs'!AE190,0)),0)*AF$55</f>
        <v>46798</v>
      </c>
      <c r="AG185" s="17">
        <f>IFERROR('Option inputs'!$F24*(IF(Scenario_Select="Scenario 1",'CBA Inputs'!AF$135-'CBA Inputs'!AF145,0)+IF(Scenario_Select="Scenario 2",'CBA Inputs'!AF$150-'CBA Inputs'!AF160,0)+IF(Scenario_Select="Scenario 3",'CBA Inputs'!AF$165-'CBA Inputs'!AF175,0)+IF(Scenario_Select="Scenario 4",'CBA Inputs'!AF$180-'CBA Inputs'!AF190,0)),0)*AG$55</f>
        <v>0</v>
      </c>
      <c r="AH185" s="17">
        <f>IFERROR('Option inputs'!$F24*(IF(Scenario_Select="Scenario 1",'CBA Inputs'!AG$135-'CBA Inputs'!AG145,0)+IF(Scenario_Select="Scenario 2",'CBA Inputs'!AG$150-'CBA Inputs'!AG160,0)+IF(Scenario_Select="Scenario 3",'CBA Inputs'!AG$165-'CBA Inputs'!AG175,0)+IF(Scenario_Select="Scenario 4",'CBA Inputs'!AG$180-'CBA Inputs'!AG190,0)),0)*AH$55</f>
        <v>0</v>
      </c>
      <c r="AI185" s="17">
        <f>IFERROR('Option inputs'!$F24*(IF(Scenario_Select="Scenario 1",'CBA Inputs'!AH$135-'CBA Inputs'!AH145,0)+IF(Scenario_Select="Scenario 2",'CBA Inputs'!AH$150-'CBA Inputs'!AH160,0)+IF(Scenario_Select="Scenario 3",'CBA Inputs'!AH$165-'CBA Inputs'!AH175,0)+IF(Scenario_Select="Scenario 4",'CBA Inputs'!AH$180-'CBA Inputs'!AH190,0)),0)*AI$55</f>
        <v>0</v>
      </c>
      <c r="AJ185" s="17">
        <f>IFERROR('Option inputs'!$F24*(IF(Scenario_Select="Scenario 1",'CBA Inputs'!AI$135-'CBA Inputs'!AI145,0)+IF(Scenario_Select="Scenario 2",'CBA Inputs'!AI$150-'CBA Inputs'!AI160,0)+IF(Scenario_Select="Scenario 3",'CBA Inputs'!AI$165-'CBA Inputs'!AI175,0)+IF(Scenario_Select="Scenario 4",'CBA Inputs'!AI$180-'CBA Inputs'!AI190,0)),0)*AJ$55</f>
        <v>0</v>
      </c>
    </row>
    <row r="186" spans="2:36" x14ac:dyDescent="0.35">
      <c r="B186" s="9">
        <f>'Option inputs'!B25</f>
        <v>11</v>
      </c>
      <c r="C186" s="14" t="str">
        <f>'Option inputs'!C25</f>
        <v>Option 4B</v>
      </c>
      <c r="D186" s="26"/>
      <c r="E186" s="12" t="s">
        <v>35</v>
      </c>
      <c r="F186" s="18">
        <f t="shared" si="45"/>
        <v>23667871.163777106</v>
      </c>
      <c r="G186" s="17">
        <f>IFERROR('Option inputs'!$F25*(IF(Scenario_Select="Scenario 1",'CBA Inputs'!F$135-'CBA Inputs'!F146,0)+IF(Scenario_Select="Scenario 2",'CBA Inputs'!F$150-'CBA Inputs'!F161,0)+IF(Scenario_Select="Scenario 3",'CBA Inputs'!F$165-'CBA Inputs'!F176,0)+IF(Scenario_Select="Scenario 4",'CBA Inputs'!F$180-'CBA Inputs'!F191,0)),0)*G$55</f>
        <v>0</v>
      </c>
      <c r="H186" s="17">
        <f>IFERROR('Option inputs'!$F25*(IF(Scenario_Select="Scenario 1",'CBA Inputs'!G$135-'CBA Inputs'!G146,0)+IF(Scenario_Select="Scenario 2",'CBA Inputs'!G$150-'CBA Inputs'!G161,0)+IF(Scenario_Select="Scenario 3",'CBA Inputs'!G$165-'CBA Inputs'!G176,0)+IF(Scenario_Select="Scenario 4",'CBA Inputs'!G$180-'CBA Inputs'!G191,0)),0)*H$55</f>
        <v>113</v>
      </c>
      <c r="I186" s="17">
        <f>IFERROR('Option inputs'!$F25*(IF(Scenario_Select="Scenario 1",'CBA Inputs'!H$135-'CBA Inputs'!H146,0)+IF(Scenario_Select="Scenario 2",'CBA Inputs'!H$150-'CBA Inputs'!H161,0)+IF(Scenario_Select="Scenario 3",'CBA Inputs'!H$165-'CBA Inputs'!H176,0)+IF(Scenario_Select="Scenario 4",'CBA Inputs'!H$180-'CBA Inputs'!H191,0)),0)*I$55</f>
        <v>-16</v>
      </c>
      <c r="J186" s="17">
        <f>IFERROR('Option inputs'!$F25*(IF(Scenario_Select="Scenario 1",'CBA Inputs'!I$135-'CBA Inputs'!I146,0)+IF(Scenario_Select="Scenario 2",'CBA Inputs'!I$150-'CBA Inputs'!I161,0)+IF(Scenario_Select="Scenario 3",'CBA Inputs'!I$165-'CBA Inputs'!I176,0)+IF(Scenario_Select="Scenario 4",'CBA Inputs'!I$180-'CBA Inputs'!I191,0)),0)*J$55</f>
        <v>32</v>
      </c>
      <c r="K186" s="17">
        <f>IFERROR('Option inputs'!$F25*(IF(Scenario_Select="Scenario 1",'CBA Inputs'!J$135-'CBA Inputs'!J146,0)+IF(Scenario_Select="Scenario 2",'CBA Inputs'!J$150-'CBA Inputs'!J161,0)+IF(Scenario_Select="Scenario 3",'CBA Inputs'!J$165-'CBA Inputs'!J176,0)+IF(Scenario_Select="Scenario 4",'CBA Inputs'!J$180-'CBA Inputs'!J191,0)),0)*K$55</f>
        <v>53</v>
      </c>
      <c r="L186" s="17">
        <f>IFERROR('Option inputs'!$F25*(IF(Scenario_Select="Scenario 1",'CBA Inputs'!K$135-'CBA Inputs'!K146,0)+IF(Scenario_Select="Scenario 2",'CBA Inputs'!K$150-'CBA Inputs'!K161,0)+IF(Scenario_Select="Scenario 3",'CBA Inputs'!K$165-'CBA Inputs'!K176,0)+IF(Scenario_Select="Scenario 4",'CBA Inputs'!K$180-'CBA Inputs'!K191,0)),0)*L$55</f>
        <v>3</v>
      </c>
      <c r="M186" s="17">
        <f>IFERROR('Option inputs'!$F25*(IF(Scenario_Select="Scenario 1",'CBA Inputs'!L$135-'CBA Inputs'!L146,0)+IF(Scenario_Select="Scenario 2",'CBA Inputs'!L$150-'CBA Inputs'!L161,0)+IF(Scenario_Select="Scenario 3",'CBA Inputs'!L$165-'CBA Inputs'!L176,0)+IF(Scenario_Select="Scenario 4",'CBA Inputs'!L$180-'CBA Inputs'!L191,0)),0)*M$55</f>
        <v>-142</v>
      </c>
      <c r="N186" s="17">
        <f>IFERROR('Option inputs'!$F25*(IF(Scenario_Select="Scenario 1",'CBA Inputs'!M$135-'CBA Inputs'!M146,0)+IF(Scenario_Select="Scenario 2",'CBA Inputs'!M$150-'CBA Inputs'!M161,0)+IF(Scenario_Select="Scenario 3",'CBA Inputs'!M$165-'CBA Inputs'!M176,0)+IF(Scenario_Select="Scenario 4",'CBA Inputs'!M$180-'CBA Inputs'!M191,0)),0)*N$55</f>
        <v>24</v>
      </c>
      <c r="O186" s="17">
        <f>IFERROR('Option inputs'!$F25*(IF(Scenario_Select="Scenario 1",'CBA Inputs'!N$135-'CBA Inputs'!N146,0)+IF(Scenario_Select="Scenario 2",'CBA Inputs'!N$150-'CBA Inputs'!N161,0)+IF(Scenario_Select="Scenario 3",'CBA Inputs'!N$165-'CBA Inputs'!N176,0)+IF(Scenario_Select="Scenario 4",'CBA Inputs'!N$180-'CBA Inputs'!N191,0)),0)*O$55</f>
        <v>-20</v>
      </c>
      <c r="P186" s="17">
        <f>IFERROR('Option inputs'!$F25*(IF(Scenario_Select="Scenario 1",'CBA Inputs'!O$135-'CBA Inputs'!O146,0)+IF(Scenario_Select="Scenario 2",'CBA Inputs'!O$150-'CBA Inputs'!O161,0)+IF(Scenario_Select="Scenario 3",'CBA Inputs'!O$165-'CBA Inputs'!O176,0)+IF(Scenario_Select="Scenario 4",'CBA Inputs'!O$180-'CBA Inputs'!O191,0)),0)*P$55</f>
        <v>-234</v>
      </c>
      <c r="Q186" s="17">
        <f>IFERROR('Option inputs'!$F25*(IF(Scenario_Select="Scenario 1",'CBA Inputs'!P$135-'CBA Inputs'!P146,0)+IF(Scenario_Select="Scenario 2",'CBA Inputs'!P$150-'CBA Inputs'!P161,0)+IF(Scenario_Select="Scenario 3",'CBA Inputs'!P$165-'CBA Inputs'!P176,0)+IF(Scenario_Select="Scenario 4",'CBA Inputs'!P$180-'CBA Inputs'!P191,0)),0)*Q$55</f>
        <v>215392063</v>
      </c>
      <c r="R186" s="17">
        <f>IFERROR('Option inputs'!$F25*(IF(Scenario_Select="Scenario 1",'CBA Inputs'!Q$135-'CBA Inputs'!Q146,0)+IF(Scenario_Select="Scenario 2",'CBA Inputs'!Q$150-'CBA Inputs'!Q161,0)+IF(Scenario_Select="Scenario 3",'CBA Inputs'!Q$165-'CBA Inputs'!Q176,0)+IF(Scenario_Select="Scenario 4",'CBA Inputs'!Q$180-'CBA Inputs'!Q191,0)),0)*R$55</f>
        <v>938</v>
      </c>
      <c r="S186" s="17">
        <f>IFERROR('Option inputs'!$F25*(IF(Scenario_Select="Scenario 1",'CBA Inputs'!R$135-'CBA Inputs'!R146,0)+IF(Scenario_Select="Scenario 2",'CBA Inputs'!R$150-'CBA Inputs'!R161,0)+IF(Scenario_Select="Scenario 3",'CBA Inputs'!R$165-'CBA Inputs'!R176,0)+IF(Scenario_Select="Scenario 4",'CBA Inputs'!R$180-'CBA Inputs'!R191,0)),0)*S$55</f>
        <v>73711273</v>
      </c>
      <c r="T186" s="17">
        <f>IFERROR('Option inputs'!$F25*(IF(Scenario_Select="Scenario 1",'CBA Inputs'!S$135-'CBA Inputs'!S146,0)+IF(Scenario_Select="Scenario 2",'CBA Inputs'!S$150-'CBA Inputs'!S161,0)+IF(Scenario_Select="Scenario 3",'CBA Inputs'!S$165-'CBA Inputs'!S176,0)+IF(Scenario_Select="Scenario 4",'CBA Inputs'!S$180-'CBA Inputs'!S191,0)),0)*T$55</f>
        <v>20319214</v>
      </c>
      <c r="U186" s="17">
        <f>IFERROR('Option inputs'!$F25*(IF(Scenario_Select="Scenario 1",'CBA Inputs'!T$135-'CBA Inputs'!T146,0)+IF(Scenario_Select="Scenario 2",'CBA Inputs'!T$150-'CBA Inputs'!T161,0)+IF(Scenario_Select="Scenario 3",'CBA Inputs'!T$165-'CBA Inputs'!T176,0)+IF(Scenario_Select="Scenario 4",'CBA Inputs'!T$180-'CBA Inputs'!T191,0)),0)*U$55</f>
        <v>-56699225</v>
      </c>
      <c r="V186" s="17">
        <f>IFERROR('Option inputs'!$F25*(IF(Scenario_Select="Scenario 1",'CBA Inputs'!U$135-'CBA Inputs'!U146,0)+IF(Scenario_Select="Scenario 2",'CBA Inputs'!U$150-'CBA Inputs'!U161,0)+IF(Scenario_Select="Scenario 3",'CBA Inputs'!U$165-'CBA Inputs'!U176,0)+IF(Scenario_Select="Scenario 4",'CBA Inputs'!U$180-'CBA Inputs'!U191,0)),0)*V$55</f>
        <v>25249393</v>
      </c>
      <c r="W186" s="17">
        <f>IFERROR('Option inputs'!$F25*(IF(Scenario_Select="Scenario 1",'CBA Inputs'!V$135-'CBA Inputs'!V146,0)+IF(Scenario_Select="Scenario 2",'CBA Inputs'!V$150-'CBA Inputs'!V161,0)+IF(Scenario_Select="Scenario 3",'CBA Inputs'!V$165-'CBA Inputs'!V176,0)+IF(Scenario_Select="Scenario 4",'CBA Inputs'!V$180-'CBA Inputs'!V191,0)),0)*W$55</f>
        <v>-202289272</v>
      </c>
      <c r="X186" s="17">
        <f>IFERROR('Option inputs'!$F25*(IF(Scenario_Select="Scenario 1",'CBA Inputs'!W$135-'CBA Inputs'!W146,0)+IF(Scenario_Select="Scenario 2",'CBA Inputs'!W$150-'CBA Inputs'!W161,0)+IF(Scenario_Select="Scenario 3",'CBA Inputs'!W$165-'CBA Inputs'!W176,0)+IF(Scenario_Select="Scenario 4",'CBA Inputs'!W$180-'CBA Inputs'!W191,0)),0)*X$55</f>
        <v>84865144</v>
      </c>
      <c r="Y186" s="17">
        <f>IFERROR('Option inputs'!$F25*(IF(Scenario_Select="Scenario 1",'CBA Inputs'!X$135-'CBA Inputs'!X146,0)+IF(Scenario_Select="Scenario 2",'CBA Inputs'!X$150-'CBA Inputs'!X161,0)+IF(Scenario_Select="Scenario 3",'CBA Inputs'!X$165-'CBA Inputs'!X176,0)+IF(Scenario_Select="Scenario 4",'CBA Inputs'!X$180-'CBA Inputs'!X191,0)),0)*Y$55</f>
        <v>-207341442</v>
      </c>
      <c r="Z186" s="17">
        <f>IFERROR('Option inputs'!$F25*(IF(Scenario_Select="Scenario 1",'CBA Inputs'!Y$135-'CBA Inputs'!Y146,0)+IF(Scenario_Select="Scenario 2",'CBA Inputs'!Y$150-'CBA Inputs'!Y161,0)+IF(Scenario_Select="Scenario 3",'CBA Inputs'!Y$165-'CBA Inputs'!Y176,0)+IF(Scenario_Select="Scenario 4",'CBA Inputs'!Y$180-'CBA Inputs'!Y191,0)),0)*Z$55</f>
        <v>23082255</v>
      </c>
      <c r="AA186" s="17">
        <f>IFERROR('Option inputs'!$F25*(IF(Scenario_Select="Scenario 1",'CBA Inputs'!Z$135-'CBA Inputs'!Z146,0)+IF(Scenario_Select="Scenario 2",'CBA Inputs'!Z$150-'CBA Inputs'!Z161,0)+IF(Scenario_Select="Scenario 3",'CBA Inputs'!Z$165-'CBA Inputs'!Z176,0)+IF(Scenario_Select="Scenario 4",'CBA Inputs'!Z$180-'CBA Inputs'!Z191,0)),0)*AA$55</f>
        <v>-10685272</v>
      </c>
      <c r="AB186" s="17">
        <f>IFERROR('Option inputs'!$F25*(IF(Scenario_Select="Scenario 1",'CBA Inputs'!AA$135-'CBA Inputs'!AA146,0)+IF(Scenario_Select="Scenario 2",'CBA Inputs'!AA$150-'CBA Inputs'!AA161,0)+IF(Scenario_Select="Scenario 3",'CBA Inputs'!AA$165-'CBA Inputs'!AA176,0)+IF(Scenario_Select="Scenario 4",'CBA Inputs'!AA$180-'CBA Inputs'!AA191,0)),0)*AB$55</f>
        <v>-92</v>
      </c>
      <c r="AC186" s="17">
        <f>IFERROR('Option inputs'!$F25*(IF(Scenario_Select="Scenario 1",'CBA Inputs'!AB$135-'CBA Inputs'!AB146,0)+IF(Scenario_Select="Scenario 2",'CBA Inputs'!AB$150-'CBA Inputs'!AB161,0)+IF(Scenario_Select="Scenario 3",'CBA Inputs'!AB$165-'CBA Inputs'!AB176,0)+IF(Scenario_Select="Scenario 4",'CBA Inputs'!AB$180-'CBA Inputs'!AB191,0)),0)*AC$55</f>
        <v>-27063120</v>
      </c>
      <c r="AD186" s="17">
        <f>IFERROR('Option inputs'!$F25*(IF(Scenario_Select="Scenario 1",'CBA Inputs'!AC$135-'CBA Inputs'!AC146,0)+IF(Scenario_Select="Scenario 2",'CBA Inputs'!AC$150-'CBA Inputs'!AC161,0)+IF(Scenario_Select="Scenario 3",'CBA Inputs'!AC$165-'CBA Inputs'!AC176,0)+IF(Scenario_Select="Scenario 4",'CBA Inputs'!AC$180-'CBA Inputs'!AC191,0)),0)*AD$55</f>
        <v>-17774200</v>
      </c>
      <c r="AE186" s="17">
        <f>IFERROR('Option inputs'!$F25*(IF(Scenario_Select="Scenario 1",'CBA Inputs'!AD$135-'CBA Inputs'!AD146,0)+IF(Scenario_Select="Scenario 2",'CBA Inputs'!AD$150-'CBA Inputs'!AD161,0)+IF(Scenario_Select="Scenario 3",'CBA Inputs'!AD$165-'CBA Inputs'!AD176,0)+IF(Scenario_Select="Scenario 4",'CBA Inputs'!AD$180-'CBA Inputs'!AD191,0)),0)*AE$55</f>
        <v>3576457</v>
      </c>
      <c r="AF186" s="17">
        <f>IFERROR('Option inputs'!$F25*(IF(Scenario_Select="Scenario 1",'CBA Inputs'!AE$135-'CBA Inputs'!AE146,0)+IF(Scenario_Select="Scenario 2",'CBA Inputs'!AE$150-'CBA Inputs'!AE161,0)+IF(Scenario_Select="Scenario 3",'CBA Inputs'!AE$165-'CBA Inputs'!AE176,0)+IF(Scenario_Select="Scenario 4",'CBA Inputs'!AE$180-'CBA Inputs'!AE191,0)),0)*AF$55</f>
        <v>565528</v>
      </c>
      <c r="AG186" s="17">
        <f>IFERROR('Option inputs'!$F25*(IF(Scenario_Select="Scenario 1",'CBA Inputs'!AF$135-'CBA Inputs'!AF146,0)+IF(Scenario_Select="Scenario 2",'CBA Inputs'!AF$150-'CBA Inputs'!AF161,0)+IF(Scenario_Select="Scenario 3",'CBA Inputs'!AF$165-'CBA Inputs'!AF176,0)+IF(Scenario_Select="Scenario 4",'CBA Inputs'!AF$180-'CBA Inputs'!AF191,0)),0)*AG$55</f>
        <v>0</v>
      </c>
      <c r="AH186" s="17">
        <f>IFERROR('Option inputs'!$F25*(IF(Scenario_Select="Scenario 1",'CBA Inputs'!AG$135-'CBA Inputs'!AG146,0)+IF(Scenario_Select="Scenario 2",'CBA Inputs'!AG$150-'CBA Inputs'!AG161,0)+IF(Scenario_Select="Scenario 3",'CBA Inputs'!AG$165-'CBA Inputs'!AG176,0)+IF(Scenario_Select="Scenario 4",'CBA Inputs'!AG$180-'CBA Inputs'!AG191,0)),0)*AH$55</f>
        <v>0</v>
      </c>
      <c r="AI186" s="17">
        <f>IFERROR('Option inputs'!$F25*(IF(Scenario_Select="Scenario 1",'CBA Inputs'!AH$135-'CBA Inputs'!AH146,0)+IF(Scenario_Select="Scenario 2",'CBA Inputs'!AH$150-'CBA Inputs'!AH161,0)+IF(Scenario_Select="Scenario 3",'CBA Inputs'!AH$165-'CBA Inputs'!AH176,0)+IF(Scenario_Select="Scenario 4",'CBA Inputs'!AH$180-'CBA Inputs'!AH191,0)),0)*AI$55</f>
        <v>0</v>
      </c>
      <c r="AJ186" s="17">
        <f>IFERROR('Option inputs'!$F25*(IF(Scenario_Select="Scenario 1",'CBA Inputs'!AI$135-'CBA Inputs'!AI146,0)+IF(Scenario_Select="Scenario 2",'CBA Inputs'!AI$150-'CBA Inputs'!AI161,0)+IF(Scenario_Select="Scenario 3",'CBA Inputs'!AI$165-'CBA Inputs'!AI176,0)+IF(Scenario_Select="Scenario 4",'CBA Inputs'!AI$180-'CBA Inputs'!AI191,0)),0)*AJ$55</f>
        <v>0</v>
      </c>
    </row>
    <row r="187" spans="2:36" x14ac:dyDescent="0.35">
      <c r="B187" s="9">
        <f>'Option inputs'!B26</f>
        <v>12</v>
      </c>
      <c r="C187" s="14" t="str">
        <f>'Option inputs'!C26</f>
        <v>Option 4C</v>
      </c>
      <c r="D187" s="26"/>
      <c r="E187" s="12" t="s">
        <v>35</v>
      </c>
      <c r="F187" s="18">
        <f t="shared" si="45"/>
        <v>23729353.953406956</v>
      </c>
      <c r="G187" s="17">
        <f>IFERROR('Option inputs'!$F26*(IF(Scenario_Select="Scenario 1",'CBA Inputs'!F$135-'CBA Inputs'!F147,0)+IF(Scenario_Select="Scenario 2",'CBA Inputs'!F$150-'CBA Inputs'!F162,0)+IF(Scenario_Select="Scenario 3",'CBA Inputs'!F$165-'CBA Inputs'!F177,0)+IF(Scenario_Select="Scenario 4",'CBA Inputs'!F$180-'CBA Inputs'!F192,0)),0)*G$55</f>
        <v>0</v>
      </c>
      <c r="H187" s="17">
        <f>IFERROR('Option inputs'!$F26*(IF(Scenario_Select="Scenario 1",'CBA Inputs'!G$135-'CBA Inputs'!G147,0)+IF(Scenario_Select="Scenario 2",'CBA Inputs'!G$150-'CBA Inputs'!G162,0)+IF(Scenario_Select="Scenario 3",'CBA Inputs'!G$165-'CBA Inputs'!G177,0)+IF(Scenario_Select="Scenario 4",'CBA Inputs'!G$180-'CBA Inputs'!G192,0)),0)*H$55</f>
        <v>2027</v>
      </c>
      <c r="I187" s="17">
        <f>IFERROR('Option inputs'!$F26*(IF(Scenario_Select="Scenario 1",'CBA Inputs'!H$135-'CBA Inputs'!H147,0)+IF(Scenario_Select="Scenario 2",'CBA Inputs'!H$150-'CBA Inputs'!H162,0)+IF(Scenario_Select="Scenario 3",'CBA Inputs'!H$165-'CBA Inputs'!H177,0)+IF(Scenario_Select="Scenario 4",'CBA Inputs'!H$180-'CBA Inputs'!H192,0)),0)*I$55</f>
        <v>250</v>
      </c>
      <c r="J187" s="17">
        <f>IFERROR('Option inputs'!$F26*(IF(Scenario_Select="Scenario 1",'CBA Inputs'!I$135-'CBA Inputs'!I147,0)+IF(Scenario_Select="Scenario 2",'CBA Inputs'!I$150-'CBA Inputs'!I162,0)+IF(Scenario_Select="Scenario 3",'CBA Inputs'!I$165-'CBA Inputs'!I177,0)+IF(Scenario_Select="Scenario 4",'CBA Inputs'!I$180-'CBA Inputs'!I192,0)),0)*J$55</f>
        <v>74</v>
      </c>
      <c r="K187" s="17">
        <f>IFERROR('Option inputs'!$F26*(IF(Scenario_Select="Scenario 1",'CBA Inputs'!J$135-'CBA Inputs'!J147,0)+IF(Scenario_Select="Scenario 2",'CBA Inputs'!J$150-'CBA Inputs'!J162,0)+IF(Scenario_Select="Scenario 3",'CBA Inputs'!J$165-'CBA Inputs'!J177,0)+IF(Scenario_Select="Scenario 4",'CBA Inputs'!J$180-'CBA Inputs'!J192,0)),0)*K$55</f>
        <v>616</v>
      </c>
      <c r="L187" s="17">
        <f>IFERROR('Option inputs'!$F26*(IF(Scenario_Select="Scenario 1",'CBA Inputs'!K$135-'CBA Inputs'!K147,0)+IF(Scenario_Select="Scenario 2",'CBA Inputs'!K$150-'CBA Inputs'!K162,0)+IF(Scenario_Select="Scenario 3",'CBA Inputs'!K$165-'CBA Inputs'!K177,0)+IF(Scenario_Select="Scenario 4",'CBA Inputs'!K$180-'CBA Inputs'!K192,0)),0)*L$55</f>
        <v>506</v>
      </c>
      <c r="M187" s="17">
        <f>IFERROR('Option inputs'!$F26*(IF(Scenario_Select="Scenario 1",'CBA Inputs'!L$135-'CBA Inputs'!L147,0)+IF(Scenario_Select="Scenario 2",'CBA Inputs'!L$150-'CBA Inputs'!L162,0)+IF(Scenario_Select="Scenario 3",'CBA Inputs'!L$165-'CBA Inputs'!L177,0)+IF(Scenario_Select="Scenario 4",'CBA Inputs'!L$180-'CBA Inputs'!L192,0)),0)*M$55</f>
        <v>376</v>
      </c>
      <c r="N187" s="17">
        <f>IFERROR('Option inputs'!$F26*(IF(Scenario_Select="Scenario 1",'CBA Inputs'!M$135-'CBA Inputs'!M147,0)+IF(Scenario_Select="Scenario 2",'CBA Inputs'!M$150-'CBA Inputs'!M162,0)+IF(Scenario_Select="Scenario 3",'CBA Inputs'!M$165-'CBA Inputs'!M177,0)+IF(Scenario_Select="Scenario 4",'CBA Inputs'!M$180-'CBA Inputs'!M192,0)),0)*N$55</f>
        <v>488</v>
      </c>
      <c r="O187" s="17">
        <f>IFERROR('Option inputs'!$F26*(IF(Scenario_Select="Scenario 1",'CBA Inputs'!N$135-'CBA Inputs'!N147,0)+IF(Scenario_Select="Scenario 2",'CBA Inputs'!N$150-'CBA Inputs'!N162,0)+IF(Scenario_Select="Scenario 3",'CBA Inputs'!N$165-'CBA Inputs'!N177,0)+IF(Scenario_Select="Scenario 4",'CBA Inputs'!N$180-'CBA Inputs'!N192,0)),0)*O$55</f>
        <v>224</v>
      </c>
      <c r="P187" s="17">
        <f>IFERROR('Option inputs'!$F26*(IF(Scenario_Select="Scenario 1",'CBA Inputs'!O$135-'CBA Inputs'!O147,0)+IF(Scenario_Select="Scenario 2",'CBA Inputs'!O$150-'CBA Inputs'!O162,0)+IF(Scenario_Select="Scenario 3",'CBA Inputs'!O$165-'CBA Inputs'!O177,0)+IF(Scenario_Select="Scenario 4",'CBA Inputs'!O$180-'CBA Inputs'!O192,0)),0)*P$55</f>
        <v>609</v>
      </c>
      <c r="Q187" s="17">
        <f>IFERROR('Option inputs'!$F26*(IF(Scenario_Select="Scenario 1",'CBA Inputs'!P$135-'CBA Inputs'!P147,0)+IF(Scenario_Select="Scenario 2",'CBA Inputs'!P$150-'CBA Inputs'!P162,0)+IF(Scenario_Select="Scenario 3",'CBA Inputs'!P$165-'CBA Inputs'!P177,0)+IF(Scenario_Select="Scenario 4",'CBA Inputs'!P$180-'CBA Inputs'!P192,0)),0)*Q$55</f>
        <v>215394098</v>
      </c>
      <c r="R187" s="17">
        <f>IFERROR('Option inputs'!$F26*(IF(Scenario_Select="Scenario 1",'CBA Inputs'!Q$135-'CBA Inputs'!Q147,0)+IF(Scenario_Select="Scenario 2",'CBA Inputs'!Q$150-'CBA Inputs'!Q162,0)+IF(Scenario_Select="Scenario 3",'CBA Inputs'!Q$165-'CBA Inputs'!Q177,0)+IF(Scenario_Select="Scenario 4",'CBA Inputs'!Q$180-'CBA Inputs'!Q192,0)),0)*R$55</f>
        <v>1664</v>
      </c>
      <c r="S187" s="17">
        <f>IFERROR('Option inputs'!$F26*(IF(Scenario_Select="Scenario 1",'CBA Inputs'!R$135-'CBA Inputs'!R147,0)+IF(Scenario_Select="Scenario 2",'CBA Inputs'!R$150-'CBA Inputs'!R162,0)+IF(Scenario_Select="Scenario 3",'CBA Inputs'!R$165-'CBA Inputs'!R177,0)+IF(Scenario_Select="Scenario 4",'CBA Inputs'!R$180-'CBA Inputs'!R192,0)),0)*S$55</f>
        <v>74198922</v>
      </c>
      <c r="T187" s="17">
        <f>IFERROR('Option inputs'!$F26*(IF(Scenario_Select="Scenario 1",'CBA Inputs'!S$135-'CBA Inputs'!S147,0)+IF(Scenario_Select="Scenario 2",'CBA Inputs'!S$150-'CBA Inputs'!S162,0)+IF(Scenario_Select="Scenario 3",'CBA Inputs'!S$165-'CBA Inputs'!S177,0)+IF(Scenario_Select="Scenario 4",'CBA Inputs'!S$180-'CBA Inputs'!S192,0)),0)*T$55</f>
        <v>19416120</v>
      </c>
      <c r="U187" s="17">
        <f>IFERROR('Option inputs'!$F26*(IF(Scenario_Select="Scenario 1",'CBA Inputs'!T$135-'CBA Inputs'!T147,0)+IF(Scenario_Select="Scenario 2",'CBA Inputs'!T$150-'CBA Inputs'!T162,0)+IF(Scenario_Select="Scenario 3",'CBA Inputs'!T$165-'CBA Inputs'!T177,0)+IF(Scenario_Select="Scenario 4",'CBA Inputs'!T$180-'CBA Inputs'!T192,0)),0)*U$55</f>
        <v>-56864922</v>
      </c>
      <c r="V187" s="17">
        <f>IFERROR('Option inputs'!$F26*(IF(Scenario_Select="Scenario 1",'CBA Inputs'!U$135-'CBA Inputs'!U147,0)+IF(Scenario_Select="Scenario 2",'CBA Inputs'!U$150-'CBA Inputs'!U162,0)+IF(Scenario_Select="Scenario 3",'CBA Inputs'!U$165-'CBA Inputs'!U177,0)+IF(Scenario_Select="Scenario 4",'CBA Inputs'!U$180-'CBA Inputs'!U192,0)),0)*V$55</f>
        <v>25310057</v>
      </c>
      <c r="W187" s="17">
        <f>IFERROR('Option inputs'!$F26*(IF(Scenario_Select="Scenario 1",'CBA Inputs'!V$135-'CBA Inputs'!V147,0)+IF(Scenario_Select="Scenario 2",'CBA Inputs'!V$150-'CBA Inputs'!V162,0)+IF(Scenario_Select="Scenario 3",'CBA Inputs'!V$165-'CBA Inputs'!V177,0)+IF(Scenario_Select="Scenario 4",'CBA Inputs'!V$180-'CBA Inputs'!V192,0)),0)*W$55</f>
        <v>-201510364</v>
      </c>
      <c r="X187" s="17">
        <f>IFERROR('Option inputs'!$F26*(IF(Scenario_Select="Scenario 1",'CBA Inputs'!W$135-'CBA Inputs'!W147,0)+IF(Scenario_Select="Scenario 2",'CBA Inputs'!W$150-'CBA Inputs'!W162,0)+IF(Scenario_Select="Scenario 3",'CBA Inputs'!W$165-'CBA Inputs'!W177,0)+IF(Scenario_Select="Scenario 4",'CBA Inputs'!W$180-'CBA Inputs'!W192,0)),0)*X$55</f>
        <v>84003007</v>
      </c>
      <c r="Y187" s="17">
        <f>IFERROR('Option inputs'!$F26*(IF(Scenario_Select="Scenario 1",'CBA Inputs'!X$135-'CBA Inputs'!X147,0)+IF(Scenario_Select="Scenario 2",'CBA Inputs'!X$150-'CBA Inputs'!X162,0)+IF(Scenario_Select="Scenario 3",'CBA Inputs'!X$165-'CBA Inputs'!X177,0)+IF(Scenario_Select="Scenario 4",'CBA Inputs'!X$180-'CBA Inputs'!X192,0)),0)*Y$55</f>
        <v>-207160804</v>
      </c>
      <c r="Z187" s="17">
        <f>IFERROR('Option inputs'!$F26*(IF(Scenario_Select="Scenario 1",'CBA Inputs'!Y$135-'CBA Inputs'!Y147,0)+IF(Scenario_Select="Scenario 2",'CBA Inputs'!Y$150-'CBA Inputs'!Y162,0)+IF(Scenario_Select="Scenario 3",'CBA Inputs'!Y$165-'CBA Inputs'!Y177,0)+IF(Scenario_Select="Scenario 4",'CBA Inputs'!Y$180-'CBA Inputs'!Y192,0)),0)*Z$55</f>
        <v>23774518</v>
      </c>
      <c r="AA187" s="17">
        <f>IFERROR('Option inputs'!$F26*(IF(Scenario_Select="Scenario 1",'CBA Inputs'!Z$135-'CBA Inputs'!Z147,0)+IF(Scenario_Select="Scenario 2",'CBA Inputs'!Z$150-'CBA Inputs'!Z162,0)+IF(Scenario_Select="Scenario 3",'CBA Inputs'!Z$165-'CBA Inputs'!Z177,0)+IF(Scenario_Select="Scenario 4",'CBA Inputs'!Z$180-'CBA Inputs'!Z192,0)),0)*AA$55</f>
        <v>-10722266</v>
      </c>
      <c r="AB187" s="17">
        <f>IFERROR('Option inputs'!$F26*(IF(Scenario_Select="Scenario 1",'CBA Inputs'!AA$135-'CBA Inputs'!AA147,0)+IF(Scenario_Select="Scenario 2",'CBA Inputs'!AA$150-'CBA Inputs'!AA162,0)+IF(Scenario_Select="Scenario 3",'CBA Inputs'!AA$165-'CBA Inputs'!AA177,0)+IF(Scenario_Select="Scenario 4",'CBA Inputs'!AA$180-'CBA Inputs'!AA192,0)),0)*AB$55</f>
        <v>-33</v>
      </c>
      <c r="AC187" s="17">
        <f>IFERROR('Option inputs'!$F26*(IF(Scenario_Select="Scenario 1",'CBA Inputs'!AB$135-'CBA Inputs'!AB147,0)+IF(Scenario_Select="Scenario 2",'CBA Inputs'!AB$150-'CBA Inputs'!AB162,0)+IF(Scenario_Select="Scenario 3",'CBA Inputs'!AB$165-'CBA Inputs'!AB177,0)+IF(Scenario_Select="Scenario 4",'CBA Inputs'!AB$180-'CBA Inputs'!AB192,0)),0)*AC$55</f>
        <v>-27066397</v>
      </c>
      <c r="AD187" s="17">
        <f>IFERROR('Option inputs'!$F26*(IF(Scenario_Select="Scenario 1",'CBA Inputs'!AC$135-'CBA Inputs'!AC147,0)+IF(Scenario_Select="Scenario 2",'CBA Inputs'!AC$150-'CBA Inputs'!AC162,0)+IF(Scenario_Select="Scenario 3",'CBA Inputs'!AC$165-'CBA Inputs'!AC177,0)+IF(Scenario_Select="Scenario 4",'CBA Inputs'!AC$180-'CBA Inputs'!AC192,0)),0)*AD$55</f>
        <v>-17727095</v>
      </c>
      <c r="AE187" s="17">
        <f>IFERROR('Option inputs'!$F26*(IF(Scenario_Select="Scenario 1",'CBA Inputs'!AD$135-'CBA Inputs'!AD147,0)+IF(Scenario_Select="Scenario 2",'CBA Inputs'!AD$150-'CBA Inputs'!AD162,0)+IF(Scenario_Select="Scenario 3",'CBA Inputs'!AD$165-'CBA Inputs'!AD177,0)+IF(Scenario_Select="Scenario 4",'CBA Inputs'!AD$180-'CBA Inputs'!AD192,0)),0)*AE$55</f>
        <v>3583026</v>
      </c>
      <c r="AF187" s="17">
        <f>IFERROR('Option inputs'!$F26*(IF(Scenario_Select="Scenario 1",'CBA Inputs'!AE$135-'CBA Inputs'!AE147,0)+IF(Scenario_Select="Scenario 2",'CBA Inputs'!AE$150-'CBA Inputs'!AE162,0)+IF(Scenario_Select="Scenario 3",'CBA Inputs'!AE$165-'CBA Inputs'!AE177,0)+IF(Scenario_Select="Scenario 4",'CBA Inputs'!AE$180-'CBA Inputs'!AE192,0)),0)*AF$55</f>
        <v>578023</v>
      </c>
      <c r="AG187" s="17">
        <f>IFERROR('Option inputs'!$F26*(IF(Scenario_Select="Scenario 1",'CBA Inputs'!AF$135-'CBA Inputs'!AF147,0)+IF(Scenario_Select="Scenario 2",'CBA Inputs'!AF$150-'CBA Inputs'!AF162,0)+IF(Scenario_Select="Scenario 3",'CBA Inputs'!AF$165-'CBA Inputs'!AF177,0)+IF(Scenario_Select="Scenario 4",'CBA Inputs'!AF$180-'CBA Inputs'!AF192,0)),0)*AG$55</f>
        <v>0</v>
      </c>
      <c r="AH187" s="17">
        <f>IFERROR('Option inputs'!$F26*(IF(Scenario_Select="Scenario 1",'CBA Inputs'!AG$135-'CBA Inputs'!AG147,0)+IF(Scenario_Select="Scenario 2",'CBA Inputs'!AG$150-'CBA Inputs'!AG162,0)+IF(Scenario_Select="Scenario 3",'CBA Inputs'!AG$165-'CBA Inputs'!AG177,0)+IF(Scenario_Select="Scenario 4",'CBA Inputs'!AG$180-'CBA Inputs'!AG192,0)),0)*AH$55</f>
        <v>0</v>
      </c>
      <c r="AI187" s="17">
        <f>IFERROR('Option inputs'!$F26*(IF(Scenario_Select="Scenario 1",'CBA Inputs'!AH$135-'CBA Inputs'!AH147,0)+IF(Scenario_Select="Scenario 2",'CBA Inputs'!AH$150-'CBA Inputs'!AH162,0)+IF(Scenario_Select="Scenario 3",'CBA Inputs'!AH$165-'CBA Inputs'!AH177,0)+IF(Scenario_Select="Scenario 4",'CBA Inputs'!AH$180-'CBA Inputs'!AH192,0)),0)*AI$55</f>
        <v>0</v>
      </c>
      <c r="AJ187" s="17">
        <f>IFERROR('Option inputs'!$F26*(IF(Scenario_Select="Scenario 1",'CBA Inputs'!AI$135-'CBA Inputs'!AI147,0)+IF(Scenario_Select="Scenario 2",'CBA Inputs'!AI$150-'CBA Inputs'!AI162,0)+IF(Scenario_Select="Scenario 3",'CBA Inputs'!AI$165-'CBA Inputs'!AI177,0)+IF(Scenario_Select="Scenario 4",'CBA Inputs'!AI$180-'CBA Inputs'!AI192,0)),0)*AJ$55</f>
        <v>0</v>
      </c>
    </row>
    <row r="188" spans="2:36" x14ac:dyDescent="0.35">
      <c r="F188" s="134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</row>
    <row r="189" spans="2:36" x14ac:dyDescent="0.35">
      <c r="B189" s="5" t="str">
        <f>+'CBA Inputs'!B194</f>
        <v xml:space="preserve">Fuel consumption from generation dispatch </v>
      </c>
      <c r="C189" s="28"/>
      <c r="D189" s="28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x14ac:dyDescent="0.35">
      <c r="B190" s="7" t="s">
        <v>14</v>
      </c>
      <c r="C190" s="10" t="s">
        <v>13</v>
      </c>
      <c r="D190" s="10"/>
      <c r="E190" s="8" t="s">
        <v>22</v>
      </c>
      <c r="F190" s="8" t="s">
        <v>37</v>
      </c>
      <c r="G190" s="13" t="str">
        <f>G$56</f>
        <v>FY 2019-20</v>
      </c>
      <c r="H190" s="13" t="str">
        <f t="shared" ref="H190:AJ190" si="46">H$56</f>
        <v>FY 2020-21</v>
      </c>
      <c r="I190" s="13" t="str">
        <f t="shared" si="46"/>
        <v>FY 2021-22</v>
      </c>
      <c r="J190" s="13" t="str">
        <f t="shared" si="46"/>
        <v>FY 2022-23</v>
      </c>
      <c r="K190" s="13" t="str">
        <f t="shared" si="46"/>
        <v>FY 2023-24</v>
      </c>
      <c r="L190" s="13" t="str">
        <f t="shared" si="46"/>
        <v>FY 2024-25</v>
      </c>
      <c r="M190" s="13" t="str">
        <f t="shared" si="46"/>
        <v>FY 2025-26</v>
      </c>
      <c r="N190" s="13" t="str">
        <f t="shared" si="46"/>
        <v>FY 2026-27</v>
      </c>
      <c r="O190" s="13" t="str">
        <f t="shared" si="46"/>
        <v>FY 2027-28</v>
      </c>
      <c r="P190" s="13" t="str">
        <f t="shared" si="46"/>
        <v>FY 2028-29</v>
      </c>
      <c r="Q190" s="13" t="str">
        <f t="shared" si="46"/>
        <v>FY 2029-30</v>
      </c>
      <c r="R190" s="13" t="str">
        <f t="shared" si="46"/>
        <v>FY 2030-31</v>
      </c>
      <c r="S190" s="13" t="str">
        <f t="shared" si="46"/>
        <v>FY 2031-32</v>
      </c>
      <c r="T190" s="13" t="str">
        <f t="shared" si="46"/>
        <v>FY 2032-33</v>
      </c>
      <c r="U190" s="13" t="str">
        <f t="shared" si="46"/>
        <v>FY 2033-34</v>
      </c>
      <c r="V190" s="13" t="str">
        <f t="shared" si="46"/>
        <v>FY 2034-35</v>
      </c>
      <c r="W190" s="13" t="str">
        <f t="shared" si="46"/>
        <v>FY 2035-36</v>
      </c>
      <c r="X190" s="13" t="str">
        <f t="shared" si="46"/>
        <v>FY 2036-37</v>
      </c>
      <c r="Y190" s="13" t="str">
        <f t="shared" si="46"/>
        <v>FY 2037-38</v>
      </c>
      <c r="Z190" s="13" t="str">
        <f t="shared" si="46"/>
        <v>FY 2038-39</v>
      </c>
      <c r="AA190" s="13" t="str">
        <f t="shared" si="46"/>
        <v>FY 2039-40</v>
      </c>
      <c r="AB190" s="13" t="str">
        <f t="shared" si="46"/>
        <v>FY 2040-41</v>
      </c>
      <c r="AC190" s="13" t="str">
        <f t="shared" si="46"/>
        <v>FY 2041-42</v>
      </c>
      <c r="AD190" s="13" t="str">
        <f t="shared" si="46"/>
        <v>FY 2042-43</v>
      </c>
      <c r="AE190" s="13" t="str">
        <f t="shared" si="46"/>
        <v>FY 2043-44</v>
      </c>
      <c r="AF190" s="13" t="str">
        <f t="shared" si="46"/>
        <v>FY 2044-45</v>
      </c>
      <c r="AG190" s="13" t="str">
        <f t="shared" si="46"/>
        <v>FY 2045-46</v>
      </c>
      <c r="AH190" s="13" t="str">
        <f t="shared" si="46"/>
        <v>FY 2046-47</v>
      </c>
      <c r="AI190" s="13" t="str">
        <f t="shared" si="46"/>
        <v>FY 2047-48</v>
      </c>
      <c r="AJ190" s="13" t="str">
        <f t="shared" si="46"/>
        <v>FY 2048-49</v>
      </c>
    </row>
    <row r="191" spans="2:36" x14ac:dyDescent="0.35">
      <c r="B191" s="9">
        <f>'Option inputs'!B15</f>
        <v>1</v>
      </c>
      <c r="C191" s="14" t="str">
        <f>'Option inputs'!C15</f>
        <v>Option 1A</v>
      </c>
      <c r="D191" s="26"/>
      <c r="E191" s="12" t="s">
        <v>35</v>
      </c>
      <c r="F191" s="18">
        <f t="shared" ref="F191:F202" si="47">NPV(DiscountRate_ACTIVE,G191:AJ191)/(1+DiscountRate_ACTIVE)^(FirstYear-BaseYear-1)</f>
        <v>65063853.318659253</v>
      </c>
      <c r="G191" s="17">
        <f>IFERROR('Option inputs'!$F15*(IF(Scenario_Select="Scenario 1",'CBA Inputs'!F$197-'CBA Inputs'!F198,0)+IF(Scenario_Select="Scenario 2",'CBA Inputs'!F$212-'CBA Inputs'!F213,0)+IF(Scenario_Select="Scenario 3",'CBA Inputs'!F$227-'CBA Inputs'!F228,0)+IF(Scenario_Select="Scenario 4",'CBA Inputs'!F$242-'CBA Inputs'!F243,0)),0)*G$55</f>
        <v>0</v>
      </c>
      <c r="H191" s="17">
        <f>IFERROR('Option inputs'!$F15*(IF(Scenario_Select="Scenario 1",'CBA Inputs'!G$197-'CBA Inputs'!G198,0)+IF(Scenario_Select="Scenario 2",'CBA Inputs'!G$212-'CBA Inputs'!G213,0)+IF(Scenario_Select="Scenario 3",'CBA Inputs'!G$227-'CBA Inputs'!G228,0)+IF(Scenario_Select="Scenario 4",'CBA Inputs'!G$242-'CBA Inputs'!G243,0)),0)*H$55</f>
        <v>5852</v>
      </c>
      <c r="I191" s="17">
        <f>IFERROR('Option inputs'!$F15*(IF(Scenario_Select="Scenario 1",'CBA Inputs'!H$197-'CBA Inputs'!H198,0)+IF(Scenario_Select="Scenario 2",'CBA Inputs'!H$212-'CBA Inputs'!H213,0)+IF(Scenario_Select="Scenario 3",'CBA Inputs'!H$227-'CBA Inputs'!H228,0)+IF(Scenario_Select="Scenario 4",'CBA Inputs'!H$242-'CBA Inputs'!H243,0)),0)*I$55</f>
        <v>5677</v>
      </c>
      <c r="J191" s="17">
        <f>IFERROR('Option inputs'!$F15*(IF(Scenario_Select="Scenario 1",'CBA Inputs'!I$197-'CBA Inputs'!I198,0)+IF(Scenario_Select="Scenario 2",'CBA Inputs'!I$212-'CBA Inputs'!I213,0)+IF(Scenario_Select="Scenario 3",'CBA Inputs'!I$227-'CBA Inputs'!I228,0)+IF(Scenario_Select="Scenario 4",'CBA Inputs'!I$242-'CBA Inputs'!I243,0)),0)*J$55</f>
        <v>6373</v>
      </c>
      <c r="K191" s="17">
        <f>IFERROR('Option inputs'!$F15*(IF(Scenario_Select="Scenario 1",'CBA Inputs'!J$197-'CBA Inputs'!J198,0)+IF(Scenario_Select="Scenario 2",'CBA Inputs'!J$212-'CBA Inputs'!J213,0)+IF(Scenario_Select="Scenario 3",'CBA Inputs'!J$227-'CBA Inputs'!J228,0)+IF(Scenario_Select="Scenario 4",'CBA Inputs'!J$242-'CBA Inputs'!J243,0)),0)*K$55</f>
        <v>-18634239</v>
      </c>
      <c r="L191" s="17">
        <f>IFERROR('Option inputs'!$F15*(IF(Scenario_Select="Scenario 1",'CBA Inputs'!K$197-'CBA Inputs'!K198,0)+IF(Scenario_Select="Scenario 2",'CBA Inputs'!K$212-'CBA Inputs'!K213,0)+IF(Scenario_Select="Scenario 3",'CBA Inputs'!K$227-'CBA Inputs'!K228,0)+IF(Scenario_Select="Scenario 4",'CBA Inputs'!K$242-'CBA Inputs'!K243,0)),0)*L$55</f>
        <v>-18529418</v>
      </c>
      <c r="M191" s="17">
        <f>IFERROR('Option inputs'!$F15*(IF(Scenario_Select="Scenario 1",'CBA Inputs'!L$197-'CBA Inputs'!L198,0)+IF(Scenario_Select="Scenario 2",'CBA Inputs'!L$212-'CBA Inputs'!L213,0)+IF(Scenario_Select="Scenario 3",'CBA Inputs'!L$227-'CBA Inputs'!L228,0)+IF(Scenario_Select="Scenario 4",'CBA Inputs'!L$242-'CBA Inputs'!L243,0)),0)*M$55</f>
        <v>-17587882</v>
      </c>
      <c r="N191" s="17">
        <f>IFERROR('Option inputs'!$F15*(IF(Scenario_Select="Scenario 1",'CBA Inputs'!M$197-'CBA Inputs'!M198,0)+IF(Scenario_Select="Scenario 2",'CBA Inputs'!M$212-'CBA Inputs'!M213,0)+IF(Scenario_Select="Scenario 3",'CBA Inputs'!M$227-'CBA Inputs'!M228,0)+IF(Scenario_Select="Scenario 4",'CBA Inputs'!M$242-'CBA Inputs'!M243,0)),0)*N$55</f>
        <v>-18820411</v>
      </c>
      <c r="O191" s="17">
        <f>IFERROR('Option inputs'!$F15*(IF(Scenario_Select="Scenario 1",'CBA Inputs'!N$197-'CBA Inputs'!N198,0)+IF(Scenario_Select="Scenario 2",'CBA Inputs'!N$212-'CBA Inputs'!N213,0)+IF(Scenario_Select="Scenario 3",'CBA Inputs'!N$227-'CBA Inputs'!N228,0)+IF(Scenario_Select="Scenario 4",'CBA Inputs'!N$242-'CBA Inputs'!N243,0)),0)*O$55</f>
        <v>-20580694</v>
      </c>
      <c r="P191" s="17">
        <f>IFERROR('Option inputs'!$F15*(IF(Scenario_Select="Scenario 1",'CBA Inputs'!O$197-'CBA Inputs'!O198,0)+IF(Scenario_Select="Scenario 2",'CBA Inputs'!O$212-'CBA Inputs'!O213,0)+IF(Scenario_Select="Scenario 3",'CBA Inputs'!O$227-'CBA Inputs'!O228,0)+IF(Scenario_Select="Scenario 4",'CBA Inputs'!O$242-'CBA Inputs'!O243,0)),0)*P$55</f>
        <v>-16910035</v>
      </c>
      <c r="Q191" s="17">
        <f>IFERROR('Option inputs'!$F15*(IF(Scenario_Select="Scenario 1",'CBA Inputs'!P$197-'CBA Inputs'!P198,0)+IF(Scenario_Select="Scenario 2",'CBA Inputs'!P$212-'CBA Inputs'!P213,0)+IF(Scenario_Select="Scenario 3",'CBA Inputs'!P$227-'CBA Inputs'!P228,0)+IF(Scenario_Select="Scenario 4",'CBA Inputs'!P$242-'CBA Inputs'!P243,0)),0)*Q$55</f>
        <v>-44172445</v>
      </c>
      <c r="R191" s="17">
        <f>IFERROR('Option inputs'!$F15*(IF(Scenario_Select="Scenario 1",'CBA Inputs'!Q$197-'CBA Inputs'!Q198,0)+IF(Scenario_Select="Scenario 2",'CBA Inputs'!Q$212-'CBA Inputs'!Q213,0)+IF(Scenario_Select="Scenario 3",'CBA Inputs'!Q$227-'CBA Inputs'!Q228,0)+IF(Scenario_Select="Scenario 4",'CBA Inputs'!Q$242-'CBA Inputs'!Q243,0)),0)*R$55</f>
        <v>-55722794</v>
      </c>
      <c r="S191" s="17">
        <f>IFERROR('Option inputs'!$F15*(IF(Scenario_Select="Scenario 1",'CBA Inputs'!R$197-'CBA Inputs'!R198,0)+IF(Scenario_Select="Scenario 2",'CBA Inputs'!R$212-'CBA Inputs'!R213,0)+IF(Scenario_Select="Scenario 3",'CBA Inputs'!R$227-'CBA Inputs'!R228,0)+IF(Scenario_Select="Scenario 4",'CBA Inputs'!R$242-'CBA Inputs'!R243,0)),0)*S$55</f>
        <v>-4121538</v>
      </c>
      <c r="T191" s="17">
        <f>IFERROR('Option inputs'!$F15*(IF(Scenario_Select="Scenario 1",'CBA Inputs'!S$197-'CBA Inputs'!S198,0)+IF(Scenario_Select="Scenario 2",'CBA Inputs'!S$212-'CBA Inputs'!S213,0)+IF(Scenario_Select="Scenario 3",'CBA Inputs'!S$227-'CBA Inputs'!S228,0)+IF(Scenario_Select="Scenario 4",'CBA Inputs'!S$242-'CBA Inputs'!S243,0)),0)*T$55</f>
        <v>6739527</v>
      </c>
      <c r="U191" s="17">
        <f>IFERROR('Option inputs'!$F15*(IF(Scenario_Select="Scenario 1",'CBA Inputs'!T$197-'CBA Inputs'!T198,0)+IF(Scenario_Select="Scenario 2",'CBA Inputs'!T$212-'CBA Inputs'!T213,0)+IF(Scenario_Select="Scenario 3",'CBA Inputs'!T$227-'CBA Inputs'!T228,0)+IF(Scenario_Select="Scenario 4",'CBA Inputs'!T$242-'CBA Inputs'!T243,0)),0)*U$55</f>
        <v>3491983</v>
      </c>
      <c r="V191" s="17">
        <f>IFERROR('Option inputs'!$F15*(IF(Scenario_Select="Scenario 1",'CBA Inputs'!U$197-'CBA Inputs'!U198,0)+IF(Scenario_Select="Scenario 2",'CBA Inputs'!U$212-'CBA Inputs'!U213,0)+IF(Scenario_Select="Scenario 3",'CBA Inputs'!U$227-'CBA Inputs'!U228,0)+IF(Scenario_Select="Scenario 4",'CBA Inputs'!U$242-'CBA Inputs'!U243,0)),0)*V$55</f>
        <v>-6864612</v>
      </c>
      <c r="W191" s="17">
        <f>IFERROR('Option inputs'!$F15*(IF(Scenario_Select="Scenario 1",'CBA Inputs'!V$197-'CBA Inputs'!V198,0)+IF(Scenario_Select="Scenario 2",'CBA Inputs'!V$212-'CBA Inputs'!V213,0)+IF(Scenario_Select="Scenario 3",'CBA Inputs'!V$227-'CBA Inputs'!V228,0)+IF(Scenario_Select="Scenario 4",'CBA Inputs'!V$242-'CBA Inputs'!V243,0)),0)*W$55</f>
        <v>56309355</v>
      </c>
      <c r="X191" s="17">
        <f>IFERROR('Option inputs'!$F15*(IF(Scenario_Select="Scenario 1",'CBA Inputs'!W$197-'CBA Inputs'!W198,0)+IF(Scenario_Select="Scenario 2",'CBA Inputs'!W$212-'CBA Inputs'!W213,0)+IF(Scenario_Select="Scenario 3",'CBA Inputs'!W$227-'CBA Inputs'!W228,0)+IF(Scenario_Select="Scenario 4",'CBA Inputs'!W$242-'CBA Inputs'!W243,0)),0)*X$55</f>
        <v>48848754</v>
      </c>
      <c r="Y191" s="17">
        <f>IFERROR('Option inputs'!$F15*(IF(Scenario_Select="Scenario 1",'CBA Inputs'!X$197-'CBA Inputs'!X198,0)+IF(Scenario_Select="Scenario 2",'CBA Inputs'!X$212-'CBA Inputs'!X213,0)+IF(Scenario_Select="Scenario 3",'CBA Inputs'!X$227-'CBA Inputs'!X228,0)+IF(Scenario_Select="Scenario 4",'CBA Inputs'!X$242-'CBA Inputs'!X243,0)),0)*Y$55</f>
        <v>62841327</v>
      </c>
      <c r="Z191" s="17">
        <f>IFERROR('Option inputs'!$F15*(IF(Scenario_Select="Scenario 1",'CBA Inputs'!Y$197-'CBA Inputs'!Y198,0)+IF(Scenario_Select="Scenario 2",'CBA Inputs'!Y$212-'CBA Inputs'!Y213,0)+IF(Scenario_Select="Scenario 3",'CBA Inputs'!Y$227-'CBA Inputs'!Y228,0)+IF(Scenario_Select="Scenario 4",'CBA Inputs'!Y$242-'CBA Inputs'!Y243,0)),0)*Z$55</f>
        <v>75636253</v>
      </c>
      <c r="AA191" s="17">
        <f>IFERROR('Option inputs'!$F15*(IF(Scenario_Select="Scenario 1",'CBA Inputs'!Z$197-'CBA Inputs'!Z198,0)+IF(Scenario_Select="Scenario 2",'CBA Inputs'!Z$212-'CBA Inputs'!Z213,0)+IF(Scenario_Select="Scenario 3",'CBA Inputs'!Z$227-'CBA Inputs'!Z228,0)+IF(Scenario_Select="Scenario 4",'CBA Inputs'!Z$242-'CBA Inputs'!Z243,0)),0)*AA$55</f>
        <v>80382478</v>
      </c>
      <c r="AB191" s="17">
        <f>IFERROR('Option inputs'!$F15*(IF(Scenario_Select="Scenario 1",'CBA Inputs'!AA$197-'CBA Inputs'!AA198,0)+IF(Scenario_Select="Scenario 2",'CBA Inputs'!AA$212-'CBA Inputs'!AA213,0)+IF(Scenario_Select="Scenario 3",'CBA Inputs'!AA$227-'CBA Inputs'!AA228,0)+IF(Scenario_Select="Scenario 4",'CBA Inputs'!AA$242-'CBA Inputs'!AA243,0)),0)*AB$55</f>
        <v>70122487</v>
      </c>
      <c r="AC191" s="17">
        <f>IFERROR('Option inputs'!$F15*(IF(Scenario_Select="Scenario 1",'CBA Inputs'!AB$197-'CBA Inputs'!AB198,0)+IF(Scenario_Select="Scenario 2",'CBA Inputs'!AB$212-'CBA Inputs'!AB213,0)+IF(Scenario_Select="Scenario 3",'CBA Inputs'!AB$227-'CBA Inputs'!AB228,0)+IF(Scenario_Select="Scenario 4",'CBA Inputs'!AB$242-'CBA Inputs'!AB243,0)),0)*AC$55</f>
        <v>67850863</v>
      </c>
      <c r="AD191" s="17">
        <f>IFERROR('Option inputs'!$F15*(IF(Scenario_Select="Scenario 1",'CBA Inputs'!AC$197-'CBA Inputs'!AC198,0)+IF(Scenario_Select="Scenario 2",'CBA Inputs'!AC$212-'CBA Inputs'!AC213,0)+IF(Scenario_Select="Scenario 3",'CBA Inputs'!AC$227-'CBA Inputs'!AC228,0)+IF(Scenario_Select="Scenario 4",'CBA Inputs'!AC$242-'CBA Inputs'!AC243,0)),0)*AD$55</f>
        <v>54752801</v>
      </c>
      <c r="AE191" s="17">
        <f>IFERROR('Option inputs'!$F15*(IF(Scenario_Select="Scenario 1",'CBA Inputs'!AD$197-'CBA Inputs'!AD198,0)+IF(Scenario_Select="Scenario 2",'CBA Inputs'!AD$212-'CBA Inputs'!AD213,0)+IF(Scenario_Select="Scenario 3",'CBA Inputs'!AD$227-'CBA Inputs'!AD228,0)+IF(Scenario_Select="Scenario 4",'CBA Inputs'!AD$242-'CBA Inputs'!AD243,0)),0)*AE$55</f>
        <v>51314908</v>
      </c>
      <c r="AF191" s="17">
        <f>IFERROR('Option inputs'!$F15*(IF(Scenario_Select="Scenario 1",'CBA Inputs'!AE$197-'CBA Inputs'!AE198,0)+IF(Scenario_Select="Scenario 2",'CBA Inputs'!AE$212-'CBA Inputs'!AE213,0)+IF(Scenario_Select="Scenario 3",'CBA Inputs'!AE$227-'CBA Inputs'!AE228,0)+IF(Scenario_Select="Scenario 4",'CBA Inputs'!AE$242-'CBA Inputs'!AE243,0)),0)*AF$55</f>
        <v>60875510</v>
      </c>
      <c r="AG191" s="17">
        <f>IFERROR('Option inputs'!$F15*(IF(Scenario_Select="Scenario 1",'CBA Inputs'!AF$197-'CBA Inputs'!AF198,0)+IF(Scenario_Select="Scenario 2",'CBA Inputs'!AF$212-'CBA Inputs'!AF213,0)+IF(Scenario_Select="Scenario 3",'CBA Inputs'!AF$227-'CBA Inputs'!AF228,0)+IF(Scenario_Select="Scenario 4",'CBA Inputs'!AF$242-'CBA Inputs'!AF243,0)),0)*AG$55</f>
        <v>0</v>
      </c>
      <c r="AH191" s="17">
        <f>IFERROR('Option inputs'!$F15*(IF(Scenario_Select="Scenario 1",'CBA Inputs'!AG$197-'CBA Inputs'!AG198,0)+IF(Scenario_Select="Scenario 2",'CBA Inputs'!AG$212-'CBA Inputs'!AG213,0)+IF(Scenario_Select="Scenario 3",'CBA Inputs'!AG$227-'CBA Inputs'!AG228,0)+IF(Scenario_Select="Scenario 4",'CBA Inputs'!AG$242-'CBA Inputs'!AG243,0)),0)*AH$55</f>
        <v>0</v>
      </c>
      <c r="AI191" s="17">
        <f>IFERROR('Option inputs'!$F15*(IF(Scenario_Select="Scenario 1",'CBA Inputs'!AH$197-'CBA Inputs'!AH198,0)+IF(Scenario_Select="Scenario 2",'CBA Inputs'!AH$212-'CBA Inputs'!AH213,0)+IF(Scenario_Select="Scenario 3",'CBA Inputs'!AH$227-'CBA Inputs'!AH228,0)+IF(Scenario_Select="Scenario 4",'CBA Inputs'!AH$242-'CBA Inputs'!AH243,0)),0)*AI$55</f>
        <v>0</v>
      </c>
      <c r="AJ191" s="17">
        <f>IFERROR('Option inputs'!$F15*(IF(Scenario_Select="Scenario 1",'CBA Inputs'!AI$197-'CBA Inputs'!AI198,0)+IF(Scenario_Select="Scenario 2",'CBA Inputs'!AI$212-'CBA Inputs'!AI213,0)+IF(Scenario_Select="Scenario 3",'CBA Inputs'!AI$227-'CBA Inputs'!AI228,0)+IF(Scenario_Select="Scenario 4",'CBA Inputs'!AI$242-'CBA Inputs'!AI243,0)),0)*AJ$55</f>
        <v>0</v>
      </c>
    </row>
    <row r="192" spans="2:36" x14ac:dyDescent="0.35">
      <c r="B192" s="9">
        <f>'Option inputs'!B16</f>
        <v>2</v>
      </c>
      <c r="C192" s="14" t="str">
        <f>'Option inputs'!C16</f>
        <v>Option 1B</v>
      </c>
      <c r="D192" s="26"/>
      <c r="E192" s="12" t="s">
        <v>35</v>
      </c>
      <c r="F192" s="18">
        <f t="shared" si="47"/>
        <v>145797411.84172583</v>
      </c>
      <c r="G192" s="17">
        <f>IFERROR('Option inputs'!$F16*(IF(Scenario_Select="Scenario 1",'CBA Inputs'!F$197-'CBA Inputs'!F199,0)+IF(Scenario_Select="Scenario 2",'CBA Inputs'!F$212-'CBA Inputs'!F214,0)+IF(Scenario_Select="Scenario 3",'CBA Inputs'!F$227-'CBA Inputs'!F229,0)+IF(Scenario_Select="Scenario 4",'CBA Inputs'!F$242-'CBA Inputs'!F244,0)),0)*G$55</f>
        <v>0</v>
      </c>
      <c r="H192" s="17">
        <f>IFERROR('Option inputs'!$F16*(IF(Scenario_Select="Scenario 1",'CBA Inputs'!G$197-'CBA Inputs'!G199,0)+IF(Scenario_Select="Scenario 2",'CBA Inputs'!G$212-'CBA Inputs'!G214,0)+IF(Scenario_Select="Scenario 3",'CBA Inputs'!G$227-'CBA Inputs'!G229,0)+IF(Scenario_Select="Scenario 4",'CBA Inputs'!G$242-'CBA Inputs'!G244,0)),0)*H$55</f>
        <v>10965</v>
      </c>
      <c r="I192" s="17">
        <f>IFERROR('Option inputs'!$F16*(IF(Scenario_Select="Scenario 1",'CBA Inputs'!H$197-'CBA Inputs'!H199,0)+IF(Scenario_Select="Scenario 2",'CBA Inputs'!H$212-'CBA Inputs'!H214,0)+IF(Scenario_Select="Scenario 3",'CBA Inputs'!H$227-'CBA Inputs'!H229,0)+IF(Scenario_Select="Scenario 4",'CBA Inputs'!H$242-'CBA Inputs'!H244,0)),0)*I$55</f>
        <v>10816</v>
      </c>
      <c r="J192" s="17">
        <f>IFERROR('Option inputs'!$F16*(IF(Scenario_Select="Scenario 1",'CBA Inputs'!I$197-'CBA Inputs'!I199,0)+IF(Scenario_Select="Scenario 2",'CBA Inputs'!I$212-'CBA Inputs'!I214,0)+IF(Scenario_Select="Scenario 3",'CBA Inputs'!I$227-'CBA Inputs'!I229,0)+IF(Scenario_Select="Scenario 4",'CBA Inputs'!I$242-'CBA Inputs'!I244,0)),0)*J$55</f>
        <v>12503</v>
      </c>
      <c r="K192" s="17">
        <f>IFERROR('Option inputs'!$F16*(IF(Scenario_Select="Scenario 1",'CBA Inputs'!J$197-'CBA Inputs'!J199,0)+IF(Scenario_Select="Scenario 2",'CBA Inputs'!J$212-'CBA Inputs'!J214,0)+IF(Scenario_Select="Scenario 3",'CBA Inputs'!J$227-'CBA Inputs'!J229,0)+IF(Scenario_Select="Scenario 4",'CBA Inputs'!J$242-'CBA Inputs'!J244,0)),0)*K$55</f>
        <v>-18999566</v>
      </c>
      <c r="L192" s="17">
        <f>IFERROR('Option inputs'!$F16*(IF(Scenario_Select="Scenario 1",'CBA Inputs'!K$197-'CBA Inputs'!K199,0)+IF(Scenario_Select="Scenario 2",'CBA Inputs'!K$212-'CBA Inputs'!K214,0)+IF(Scenario_Select="Scenario 3",'CBA Inputs'!K$227-'CBA Inputs'!K229,0)+IF(Scenario_Select="Scenario 4",'CBA Inputs'!K$242-'CBA Inputs'!K244,0)),0)*L$55</f>
        <v>-17213661</v>
      </c>
      <c r="M192" s="17">
        <f>IFERROR('Option inputs'!$F16*(IF(Scenario_Select="Scenario 1",'CBA Inputs'!L$197-'CBA Inputs'!L199,0)+IF(Scenario_Select="Scenario 2",'CBA Inputs'!L$212-'CBA Inputs'!L214,0)+IF(Scenario_Select="Scenario 3",'CBA Inputs'!L$227-'CBA Inputs'!L229,0)+IF(Scenario_Select="Scenario 4",'CBA Inputs'!L$242-'CBA Inputs'!L244,0)),0)*M$55</f>
        <v>-15900653</v>
      </c>
      <c r="N192" s="17">
        <f>IFERROR('Option inputs'!$F16*(IF(Scenario_Select="Scenario 1",'CBA Inputs'!M$197-'CBA Inputs'!M199,0)+IF(Scenario_Select="Scenario 2",'CBA Inputs'!M$212-'CBA Inputs'!M214,0)+IF(Scenario_Select="Scenario 3",'CBA Inputs'!M$227-'CBA Inputs'!M229,0)+IF(Scenario_Select="Scenario 4",'CBA Inputs'!M$242-'CBA Inputs'!M244,0)),0)*N$55</f>
        <v>-16902223</v>
      </c>
      <c r="O192" s="17">
        <f>IFERROR('Option inputs'!$F16*(IF(Scenario_Select="Scenario 1",'CBA Inputs'!N$197-'CBA Inputs'!N199,0)+IF(Scenario_Select="Scenario 2",'CBA Inputs'!N$212-'CBA Inputs'!N214,0)+IF(Scenario_Select="Scenario 3",'CBA Inputs'!N$227-'CBA Inputs'!N229,0)+IF(Scenario_Select="Scenario 4",'CBA Inputs'!N$242-'CBA Inputs'!N244,0)),0)*O$55</f>
        <v>-18900134</v>
      </c>
      <c r="P192" s="17">
        <f>IFERROR('Option inputs'!$F16*(IF(Scenario_Select="Scenario 1",'CBA Inputs'!O$197-'CBA Inputs'!O199,0)+IF(Scenario_Select="Scenario 2",'CBA Inputs'!O$212-'CBA Inputs'!O214,0)+IF(Scenario_Select="Scenario 3",'CBA Inputs'!O$227-'CBA Inputs'!O229,0)+IF(Scenario_Select="Scenario 4",'CBA Inputs'!O$242-'CBA Inputs'!O244,0)),0)*P$55</f>
        <v>-15739118</v>
      </c>
      <c r="Q192" s="17">
        <f>IFERROR('Option inputs'!$F16*(IF(Scenario_Select="Scenario 1",'CBA Inputs'!P$197-'CBA Inputs'!P199,0)+IF(Scenario_Select="Scenario 2",'CBA Inputs'!P$212-'CBA Inputs'!P214,0)+IF(Scenario_Select="Scenario 3",'CBA Inputs'!P$227-'CBA Inputs'!P229,0)+IF(Scenario_Select="Scenario 4",'CBA Inputs'!P$242-'CBA Inputs'!P244,0)),0)*Q$55</f>
        <v>-114102401</v>
      </c>
      <c r="R192" s="17">
        <f>IFERROR('Option inputs'!$F16*(IF(Scenario_Select="Scenario 1",'CBA Inputs'!Q$197-'CBA Inputs'!Q199,0)+IF(Scenario_Select="Scenario 2",'CBA Inputs'!Q$212-'CBA Inputs'!Q214,0)+IF(Scenario_Select="Scenario 3",'CBA Inputs'!Q$227-'CBA Inputs'!Q229,0)+IF(Scenario_Select="Scenario 4",'CBA Inputs'!Q$242-'CBA Inputs'!Q244,0)),0)*R$55</f>
        <v>-54607558</v>
      </c>
      <c r="S192" s="17">
        <f>IFERROR('Option inputs'!$F16*(IF(Scenario_Select="Scenario 1",'CBA Inputs'!R$197-'CBA Inputs'!R199,0)+IF(Scenario_Select="Scenario 2",'CBA Inputs'!R$212-'CBA Inputs'!R214,0)+IF(Scenario_Select="Scenario 3",'CBA Inputs'!R$227-'CBA Inputs'!R229,0)+IF(Scenario_Select="Scenario 4",'CBA Inputs'!R$242-'CBA Inputs'!R244,0)),0)*S$55</f>
        <v>-45548540</v>
      </c>
      <c r="T192" s="17">
        <f>IFERROR('Option inputs'!$F16*(IF(Scenario_Select="Scenario 1",'CBA Inputs'!S$197-'CBA Inputs'!S199,0)+IF(Scenario_Select="Scenario 2",'CBA Inputs'!S$212-'CBA Inputs'!S214,0)+IF(Scenario_Select="Scenario 3",'CBA Inputs'!S$227-'CBA Inputs'!S229,0)+IF(Scenario_Select="Scenario 4",'CBA Inputs'!S$242-'CBA Inputs'!S244,0)),0)*T$55</f>
        <v>-12510930</v>
      </c>
      <c r="U192" s="17">
        <f>IFERROR('Option inputs'!$F16*(IF(Scenario_Select="Scenario 1",'CBA Inputs'!T$197-'CBA Inputs'!T199,0)+IF(Scenario_Select="Scenario 2",'CBA Inputs'!T$212-'CBA Inputs'!T214,0)+IF(Scenario_Select="Scenario 3",'CBA Inputs'!T$227-'CBA Inputs'!T229,0)+IF(Scenario_Select="Scenario 4",'CBA Inputs'!T$242-'CBA Inputs'!T244,0)),0)*U$55</f>
        <v>2959781</v>
      </c>
      <c r="V192" s="17">
        <f>IFERROR('Option inputs'!$F16*(IF(Scenario_Select="Scenario 1",'CBA Inputs'!U$197-'CBA Inputs'!U199,0)+IF(Scenario_Select="Scenario 2",'CBA Inputs'!U$212-'CBA Inputs'!U214,0)+IF(Scenario_Select="Scenario 3",'CBA Inputs'!U$227-'CBA Inputs'!U229,0)+IF(Scenario_Select="Scenario 4",'CBA Inputs'!U$242-'CBA Inputs'!U244,0)),0)*V$55</f>
        <v>-16326687</v>
      </c>
      <c r="W192" s="17">
        <f>IFERROR('Option inputs'!$F16*(IF(Scenario_Select="Scenario 1",'CBA Inputs'!V$197-'CBA Inputs'!V199,0)+IF(Scenario_Select="Scenario 2",'CBA Inputs'!V$212-'CBA Inputs'!V214,0)+IF(Scenario_Select="Scenario 3",'CBA Inputs'!V$227-'CBA Inputs'!V229,0)+IF(Scenario_Select="Scenario 4",'CBA Inputs'!V$242-'CBA Inputs'!V244,0)),0)*W$55</f>
        <v>63813385</v>
      </c>
      <c r="X192" s="17">
        <f>IFERROR('Option inputs'!$F16*(IF(Scenario_Select="Scenario 1",'CBA Inputs'!W$197-'CBA Inputs'!W199,0)+IF(Scenario_Select="Scenario 2",'CBA Inputs'!W$212-'CBA Inputs'!W214,0)+IF(Scenario_Select="Scenario 3",'CBA Inputs'!W$227-'CBA Inputs'!W229,0)+IF(Scenario_Select="Scenario 4",'CBA Inputs'!W$242-'CBA Inputs'!W244,0)),0)*X$55</f>
        <v>51054961</v>
      </c>
      <c r="Y192" s="17">
        <f>IFERROR('Option inputs'!$F16*(IF(Scenario_Select="Scenario 1",'CBA Inputs'!X$197-'CBA Inputs'!X199,0)+IF(Scenario_Select="Scenario 2",'CBA Inputs'!X$212-'CBA Inputs'!X214,0)+IF(Scenario_Select="Scenario 3",'CBA Inputs'!X$227-'CBA Inputs'!X229,0)+IF(Scenario_Select="Scenario 4",'CBA Inputs'!X$242-'CBA Inputs'!X244,0)),0)*Y$55</f>
        <v>135996944</v>
      </c>
      <c r="Z192" s="17">
        <f>IFERROR('Option inputs'!$F16*(IF(Scenario_Select="Scenario 1",'CBA Inputs'!Y$197-'CBA Inputs'!Y199,0)+IF(Scenario_Select="Scenario 2",'CBA Inputs'!Y$212-'CBA Inputs'!Y214,0)+IF(Scenario_Select="Scenario 3",'CBA Inputs'!Y$227-'CBA Inputs'!Y229,0)+IF(Scenario_Select="Scenario 4",'CBA Inputs'!Y$242-'CBA Inputs'!Y244,0)),0)*Z$55</f>
        <v>130126142</v>
      </c>
      <c r="AA192" s="17">
        <f>IFERROR('Option inputs'!$F16*(IF(Scenario_Select="Scenario 1",'CBA Inputs'!Z$197-'CBA Inputs'!Z199,0)+IF(Scenario_Select="Scenario 2",'CBA Inputs'!Z$212-'CBA Inputs'!Z214,0)+IF(Scenario_Select="Scenario 3",'CBA Inputs'!Z$227-'CBA Inputs'!Z229,0)+IF(Scenario_Select="Scenario 4",'CBA Inputs'!Z$242-'CBA Inputs'!Z244,0)),0)*AA$55</f>
        <v>132706182</v>
      </c>
      <c r="AB192" s="17">
        <f>IFERROR('Option inputs'!$F16*(IF(Scenario_Select="Scenario 1",'CBA Inputs'!AA$197-'CBA Inputs'!AA199,0)+IF(Scenario_Select="Scenario 2",'CBA Inputs'!AA$212-'CBA Inputs'!AA214,0)+IF(Scenario_Select="Scenario 3",'CBA Inputs'!AA$227-'CBA Inputs'!AA229,0)+IF(Scenario_Select="Scenario 4",'CBA Inputs'!AA$242-'CBA Inputs'!AA244,0)),0)*AB$55</f>
        <v>115265365</v>
      </c>
      <c r="AC192" s="17">
        <f>IFERROR('Option inputs'!$F16*(IF(Scenario_Select="Scenario 1",'CBA Inputs'!AB$197-'CBA Inputs'!AB199,0)+IF(Scenario_Select="Scenario 2",'CBA Inputs'!AB$212-'CBA Inputs'!AB214,0)+IF(Scenario_Select="Scenario 3",'CBA Inputs'!AB$227-'CBA Inputs'!AB229,0)+IF(Scenario_Select="Scenario 4",'CBA Inputs'!AB$242-'CBA Inputs'!AB244,0)),0)*AC$55</f>
        <v>140458744</v>
      </c>
      <c r="AD192" s="17">
        <f>IFERROR('Option inputs'!$F16*(IF(Scenario_Select="Scenario 1",'CBA Inputs'!AC$197-'CBA Inputs'!AC199,0)+IF(Scenario_Select="Scenario 2",'CBA Inputs'!AC$212-'CBA Inputs'!AC214,0)+IF(Scenario_Select="Scenario 3",'CBA Inputs'!AC$227-'CBA Inputs'!AC229,0)+IF(Scenario_Select="Scenario 4",'CBA Inputs'!AC$242-'CBA Inputs'!AC244,0)),0)*AD$55</f>
        <v>125897677</v>
      </c>
      <c r="AE192" s="17">
        <f>IFERROR('Option inputs'!$F16*(IF(Scenario_Select="Scenario 1",'CBA Inputs'!AD$197-'CBA Inputs'!AD199,0)+IF(Scenario_Select="Scenario 2",'CBA Inputs'!AD$212-'CBA Inputs'!AD214,0)+IF(Scenario_Select="Scenario 3",'CBA Inputs'!AD$227-'CBA Inputs'!AD229,0)+IF(Scenario_Select="Scenario 4",'CBA Inputs'!AD$242-'CBA Inputs'!AD244,0)),0)*AE$55</f>
        <v>107610210</v>
      </c>
      <c r="AF192" s="17">
        <f>IFERROR('Option inputs'!$F16*(IF(Scenario_Select="Scenario 1",'CBA Inputs'!AE$197-'CBA Inputs'!AE199,0)+IF(Scenario_Select="Scenario 2",'CBA Inputs'!AE$212-'CBA Inputs'!AE214,0)+IF(Scenario_Select="Scenario 3",'CBA Inputs'!AE$227-'CBA Inputs'!AE229,0)+IF(Scenario_Select="Scenario 4",'CBA Inputs'!AE$242-'CBA Inputs'!AE244,0)),0)*AF$55</f>
        <v>130344864</v>
      </c>
      <c r="AG192" s="17">
        <f>IFERROR('Option inputs'!$F16*(IF(Scenario_Select="Scenario 1",'CBA Inputs'!AF$197-'CBA Inputs'!AF199,0)+IF(Scenario_Select="Scenario 2",'CBA Inputs'!AF$212-'CBA Inputs'!AF214,0)+IF(Scenario_Select="Scenario 3",'CBA Inputs'!AF$227-'CBA Inputs'!AF229,0)+IF(Scenario_Select="Scenario 4",'CBA Inputs'!AF$242-'CBA Inputs'!AF244,0)),0)*AG$55</f>
        <v>0</v>
      </c>
      <c r="AH192" s="17">
        <f>IFERROR('Option inputs'!$F16*(IF(Scenario_Select="Scenario 1",'CBA Inputs'!AG$197-'CBA Inputs'!AG199,0)+IF(Scenario_Select="Scenario 2",'CBA Inputs'!AG$212-'CBA Inputs'!AG214,0)+IF(Scenario_Select="Scenario 3",'CBA Inputs'!AG$227-'CBA Inputs'!AG229,0)+IF(Scenario_Select="Scenario 4",'CBA Inputs'!AG$242-'CBA Inputs'!AG244,0)),0)*AH$55</f>
        <v>0</v>
      </c>
      <c r="AI192" s="17">
        <f>IFERROR('Option inputs'!$F16*(IF(Scenario_Select="Scenario 1",'CBA Inputs'!AH$197-'CBA Inputs'!AH199,0)+IF(Scenario_Select="Scenario 2",'CBA Inputs'!AH$212-'CBA Inputs'!AH214,0)+IF(Scenario_Select="Scenario 3",'CBA Inputs'!AH$227-'CBA Inputs'!AH229,0)+IF(Scenario_Select="Scenario 4",'CBA Inputs'!AH$242-'CBA Inputs'!AH244,0)),0)*AI$55</f>
        <v>0</v>
      </c>
      <c r="AJ192" s="17">
        <f>IFERROR('Option inputs'!$F16*(IF(Scenario_Select="Scenario 1",'CBA Inputs'!AI$197-'CBA Inputs'!AI199,0)+IF(Scenario_Select="Scenario 2",'CBA Inputs'!AI$212-'CBA Inputs'!AI214,0)+IF(Scenario_Select="Scenario 3",'CBA Inputs'!AI$227-'CBA Inputs'!AI229,0)+IF(Scenario_Select="Scenario 4",'CBA Inputs'!AI$242-'CBA Inputs'!AI244,0)),0)*AJ$55</f>
        <v>0</v>
      </c>
    </row>
    <row r="193" spans="2:36" x14ac:dyDescent="0.35">
      <c r="B193" s="9">
        <f>'Option inputs'!B17</f>
        <v>3</v>
      </c>
      <c r="C193" s="14" t="str">
        <f>'Option inputs'!C17</f>
        <v>Option 1C</v>
      </c>
      <c r="D193" s="26"/>
      <c r="E193" s="12" t="s">
        <v>35</v>
      </c>
      <c r="F193" s="18">
        <f t="shared" si="47"/>
        <v>241834745.7957947</v>
      </c>
      <c r="G193" s="17">
        <f>IFERROR('Option inputs'!$F17*(IF(Scenario_Select="Scenario 1",'CBA Inputs'!F$197-'CBA Inputs'!F200,0)+IF(Scenario_Select="Scenario 2",'CBA Inputs'!F$212-'CBA Inputs'!F215,0)+IF(Scenario_Select="Scenario 3",'CBA Inputs'!F$227-'CBA Inputs'!F230,0)+IF(Scenario_Select="Scenario 4",'CBA Inputs'!F$242-'CBA Inputs'!F245,0)),0)*G$55</f>
        <v>0</v>
      </c>
      <c r="H193" s="17">
        <f>IFERROR('Option inputs'!$F17*(IF(Scenario_Select="Scenario 1",'CBA Inputs'!G$197-'CBA Inputs'!G200,0)+IF(Scenario_Select="Scenario 2",'CBA Inputs'!G$212-'CBA Inputs'!G215,0)+IF(Scenario_Select="Scenario 3",'CBA Inputs'!G$227-'CBA Inputs'!G230,0)+IF(Scenario_Select="Scenario 4",'CBA Inputs'!G$242-'CBA Inputs'!G245,0)),0)*H$55</f>
        <v>2190</v>
      </c>
      <c r="I193" s="17">
        <f>IFERROR('Option inputs'!$F17*(IF(Scenario_Select="Scenario 1",'CBA Inputs'!H$197-'CBA Inputs'!H200,0)+IF(Scenario_Select="Scenario 2",'CBA Inputs'!H$212-'CBA Inputs'!H215,0)+IF(Scenario_Select="Scenario 3",'CBA Inputs'!H$227-'CBA Inputs'!H230,0)+IF(Scenario_Select="Scenario 4",'CBA Inputs'!H$242-'CBA Inputs'!H245,0)),0)*I$55</f>
        <v>2143</v>
      </c>
      <c r="J193" s="17">
        <f>IFERROR('Option inputs'!$F17*(IF(Scenario_Select="Scenario 1",'CBA Inputs'!I$197-'CBA Inputs'!I200,0)+IF(Scenario_Select="Scenario 2",'CBA Inputs'!I$212-'CBA Inputs'!I215,0)+IF(Scenario_Select="Scenario 3",'CBA Inputs'!I$227-'CBA Inputs'!I230,0)+IF(Scenario_Select="Scenario 4",'CBA Inputs'!I$242-'CBA Inputs'!I245,0)),0)*J$55</f>
        <v>2313</v>
      </c>
      <c r="K193" s="17">
        <f>IFERROR('Option inputs'!$F17*(IF(Scenario_Select="Scenario 1",'CBA Inputs'!J$197-'CBA Inputs'!J200,0)+IF(Scenario_Select="Scenario 2",'CBA Inputs'!J$212-'CBA Inputs'!J215,0)+IF(Scenario_Select="Scenario 3",'CBA Inputs'!J$227-'CBA Inputs'!J230,0)+IF(Scenario_Select="Scenario 4",'CBA Inputs'!J$242-'CBA Inputs'!J245,0)),0)*K$55</f>
        <v>2848452</v>
      </c>
      <c r="L193" s="17">
        <f>IFERROR('Option inputs'!$F17*(IF(Scenario_Select="Scenario 1",'CBA Inputs'!K$197-'CBA Inputs'!K200,0)+IF(Scenario_Select="Scenario 2",'CBA Inputs'!K$212-'CBA Inputs'!K215,0)+IF(Scenario_Select="Scenario 3",'CBA Inputs'!K$227-'CBA Inputs'!K230,0)+IF(Scenario_Select="Scenario 4",'CBA Inputs'!K$242-'CBA Inputs'!K245,0)),0)*L$55</f>
        <v>3918242</v>
      </c>
      <c r="M193" s="17">
        <f>IFERROR('Option inputs'!$F17*(IF(Scenario_Select="Scenario 1",'CBA Inputs'!L$197-'CBA Inputs'!L200,0)+IF(Scenario_Select="Scenario 2",'CBA Inputs'!L$212-'CBA Inputs'!L215,0)+IF(Scenario_Select="Scenario 3",'CBA Inputs'!L$227-'CBA Inputs'!L230,0)+IF(Scenario_Select="Scenario 4",'CBA Inputs'!L$242-'CBA Inputs'!L245,0)),0)*M$55</f>
        <v>5941927</v>
      </c>
      <c r="N193" s="17">
        <f>IFERROR('Option inputs'!$F17*(IF(Scenario_Select="Scenario 1",'CBA Inputs'!M$197-'CBA Inputs'!M200,0)+IF(Scenario_Select="Scenario 2",'CBA Inputs'!M$212-'CBA Inputs'!M215,0)+IF(Scenario_Select="Scenario 3",'CBA Inputs'!M$227-'CBA Inputs'!M230,0)+IF(Scenario_Select="Scenario 4",'CBA Inputs'!M$242-'CBA Inputs'!M245,0)),0)*N$55</f>
        <v>6990483</v>
      </c>
      <c r="O193" s="17">
        <f>IFERROR('Option inputs'!$F17*(IF(Scenario_Select="Scenario 1",'CBA Inputs'!N$197-'CBA Inputs'!N200,0)+IF(Scenario_Select="Scenario 2",'CBA Inputs'!N$212-'CBA Inputs'!N215,0)+IF(Scenario_Select="Scenario 3",'CBA Inputs'!N$227-'CBA Inputs'!N230,0)+IF(Scenario_Select="Scenario 4",'CBA Inputs'!N$242-'CBA Inputs'!N245,0)),0)*O$55</f>
        <v>4566504</v>
      </c>
      <c r="P193" s="17">
        <f>IFERROR('Option inputs'!$F17*(IF(Scenario_Select="Scenario 1",'CBA Inputs'!O$197-'CBA Inputs'!O200,0)+IF(Scenario_Select="Scenario 2",'CBA Inputs'!O$212-'CBA Inputs'!O215,0)+IF(Scenario_Select="Scenario 3",'CBA Inputs'!O$227-'CBA Inputs'!O230,0)+IF(Scenario_Select="Scenario 4",'CBA Inputs'!O$242-'CBA Inputs'!O245,0)),0)*P$55</f>
        <v>4681177</v>
      </c>
      <c r="Q193" s="17">
        <f>IFERROR('Option inputs'!$F17*(IF(Scenario_Select="Scenario 1",'CBA Inputs'!P$197-'CBA Inputs'!P200,0)+IF(Scenario_Select="Scenario 2",'CBA Inputs'!P$212-'CBA Inputs'!P215,0)+IF(Scenario_Select="Scenario 3",'CBA Inputs'!P$227-'CBA Inputs'!P230,0)+IF(Scenario_Select="Scenario 4",'CBA Inputs'!P$242-'CBA Inputs'!P245,0)),0)*Q$55</f>
        <v>-107019254</v>
      </c>
      <c r="R193" s="17">
        <f>IFERROR('Option inputs'!$F17*(IF(Scenario_Select="Scenario 1",'CBA Inputs'!Q$197-'CBA Inputs'!Q200,0)+IF(Scenario_Select="Scenario 2",'CBA Inputs'!Q$212-'CBA Inputs'!Q215,0)+IF(Scenario_Select="Scenario 3",'CBA Inputs'!Q$227-'CBA Inputs'!Q230,0)+IF(Scenario_Select="Scenario 4",'CBA Inputs'!Q$242-'CBA Inputs'!Q245,0)),0)*R$55</f>
        <v>-54078607</v>
      </c>
      <c r="S193" s="17">
        <f>IFERROR('Option inputs'!$F17*(IF(Scenario_Select="Scenario 1",'CBA Inputs'!R$197-'CBA Inputs'!R200,0)+IF(Scenario_Select="Scenario 2",'CBA Inputs'!R$212-'CBA Inputs'!R215,0)+IF(Scenario_Select="Scenario 3",'CBA Inputs'!R$227-'CBA Inputs'!R230,0)+IF(Scenario_Select="Scenario 4",'CBA Inputs'!R$242-'CBA Inputs'!R245,0)),0)*S$55</f>
        <v>-45535673</v>
      </c>
      <c r="T193" s="17">
        <f>IFERROR('Option inputs'!$F17*(IF(Scenario_Select="Scenario 1",'CBA Inputs'!S$197-'CBA Inputs'!S200,0)+IF(Scenario_Select="Scenario 2",'CBA Inputs'!S$212-'CBA Inputs'!S215,0)+IF(Scenario_Select="Scenario 3",'CBA Inputs'!S$227-'CBA Inputs'!S230,0)+IF(Scenario_Select="Scenario 4",'CBA Inputs'!S$242-'CBA Inputs'!S245,0)),0)*T$55</f>
        <v>-12500282</v>
      </c>
      <c r="U193" s="17">
        <f>IFERROR('Option inputs'!$F17*(IF(Scenario_Select="Scenario 1",'CBA Inputs'!T$197-'CBA Inputs'!T200,0)+IF(Scenario_Select="Scenario 2",'CBA Inputs'!T$212-'CBA Inputs'!T215,0)+IF(Scenario_Select="Scenario 3",'CBA Inputs'!T$227-'CBA Inputs'!T230,0)+IF(Scenario_Select="Scenario 4",'CBA Inputs'!T$242-'CBA Inputs'!T245,0)),0)*U$55</f>
        <v>2949468</v>
      </c>
      <c r="V193" s="17">
        <f>IFERROR('Option inputs'!$F17*(IF(Scenario_Select="Scenario 1",'CBA Inputs'!U$197-'CBA Inputs'!U200,0)+IF(Scenario_Select="Scenario 2",'CBA Inputs'!U$212-'CBA Inputs'!U215,0)+IF(Scenario_Select="Scenario 3",'CBA Inputs'!U$227-'CBA Inputs'!U230,0)+IF(Scenario_Select="Scenario 4",'CBA Inputs'!U$242-'CBA Inputs'!U245,0)),0)*V$55</f>
        <v>-16312868</v>
      </c>
      <c r="W193" s="17">
        <f>IFERROR('Option inputs'!$F17*(IF(Scenario_Select="Scenario 1",'CBA Inputs'!V$197-'CBA Inputs'!V200,0)+IF(Scenario_Select="Scenario 2",'CBA Inputs'!V$212-'CBA Inputs'!V215,0)+IF(Scenario_Select="Scenario 3",'CBA Inputs'!V$227-'CBA Inputs'!V230,0)+IF(Scenario_Select="Scenario 4",'CBA Inputs'!V$242-'CBA Inputs'!V245,0)),0)*W$55</f>
        <v>63804015</v>
      </c>
      <c r="X193" s="17">
        <f>IFERROR('Option inputs'!$F17*(IF(Scenario_Select="Scenario 1",'CBA Inputs'!W$197-'CBA Inputs'!W200,0)+IF(Scenario_Select="Scenario 2",'CBA Inputs'!W$212-'CBA Inputs'!W215,0)+IF(Scenario_Select="Scenario 3",'CBA Inputs'!W$227-'CBA Inputs'!W230,0)+IF(Scenario_Select="Scenario 4",'CBA Inputs'!W$242-'CBA Inputs'!W245,0)),0)*X$55</f>
        <v>51041037</v>
      </c>
      <c r="Y193" s="17">
        <f>IFERROR('Option inputs'!$F17*(IF(Scenario_Select="Scenario 1",'CBA Inputs'!X$197-'CBA Inputs'!X200,0)+IF(Scenario_Select="Scenario 2",'CBA Inputs'!X$212-'CBA Inputs'!X215,0)+IF(Scenario_Select="Scenario 3",'CBA Inputs'!X$227-'CBA Inputs'!X230,0)+IF(Scenario_Select="Scenario 4",'CBA Inputs'!X$242-'CBA Inputs'!X245,0)),0)*Y$55</f>
        <v>136006303</v>
      </c>
      <c r="Z193" s="17">
        <f>IFERROR('Option inputs'!$F17*(IF(Scenario_Select="Scenario 1",'CBA Inputs'!Y$197-'CBA Inputs'!Y200,0)+IF(Scenario_Select="Scenario 2",'CBA Inputs'!Y$212-'CBA Inputs'!Y215,0)+IF(Scenario_Select="Scenario 3",'CBA Inputs'!Y$227-'CBA Inputs'!Y230,0)+IF(Scenario_Select="Scenario 4",'CBA Inputs'!Y$242-'CBA Inputs'!Y245,0)),0)*Z$55</f>
        <v>130199208</v>
      </c>
      <c r="AA193" s="17">
        <f>IFERROR('Option inputs'!$F17*(IF(Scenario_Select="Scenario 1",'CBA Inputs'!Z$197-'CBA Inputs'!Z200,0)+IF(Scenario_Select="Scenario 2",'CBA Inputs'!Z$212-'CBA Inputs'!Z215,0)+IF(Scenario_Select="Scenario 3",'CBA Inputs'!Z$227-'CBA Inputs'!Z230,0)+IF(Scenario_Select="Scenario 4",'CBA Inputs'!Z$242-'CBA Inputs'!Z245,0)),0)*AA$55</f>
        <v>132767198</v>
      </c>
      <c r="AB193" s="17">
        <f>IFERROR('Option inputs'!$F17*(IF(Scenario_Select="Scenario 1",'CBA Inputs'!AA$197-'CBA Inputs'!AA200,0)+IF(Scenario_Select="Scenario 2",'CBA Inputs'!AA$212-'CBA Inputs'!AA215,0)+IF(Scenario_Select="Scenario 3",'CBA Inputs'!AA$227-'CBA Inputs'!AA230,0)+IF(Scenario_Select="Scenario 4",'CBA Inputs'!AA$242-'CBA Inputs'!AA245,0)),0)*AB$55</f>
        <v>115288770</v>
      </c>
      <c r="AC193" s="17">
        <f>IFERROR('Option inputs'!$F17*(IF(Scenario_Select="Scenario 1",'CBA Inputs'!AB$197-'CBA Inputs'!AB200,0)+IF(Scenario_Select="Scenario 2",'CBA Inputs'!AB$212-'CBA Inputs'!AB215,0)+IF(Scenario_Select="Scenario 3",'CBA Inputs'!AB$227-'CBA Inputs'!AB230,0)+IF(Scenario_Select="Scenario 4",'CBA Inputs'!AB$242-'CBA Inputs'!AB245,0)),0)*AC$55</f>
        <v>140462352</v>
      </c>
      <c r="AD193" s="17">
        <f>IFERROR('Option inputs'!$F17*(IF(Scenario_Select="Scenario 1",'CBA Inputs'!AC$197-'CBA Inputs'!AC200,0)+IF(Scenario_Select="Scenario 2",'CBA Inputs'!AC$212-'CBA Inputs'!AC215,0)+IF(Scenario_Select="Scenario 3",'CBA Inputs'!AC$227-'CBA Inputs'!AC230,0)+IF(Scenario_Select="Scenario 4",'CBA Inputs'!AC$242-'CBA Inputs'!AC245,0)),0)*AD$55</f>
        <v>125875589</v>
      </c>
      <c r="AE193" s="17">
        <f>IFERROR('Option inputs'!$F17*(IF(Scenario_Select="Scenario 1",'CBA Inputs'!AD$197-'CBA Inputs'!AD200,0)+IF(Scenario_Select="Scenario 2",'CBA Inputs'!AD$212-'CBA Inputs'!AD215,0)+IF(Scenario_Select="Scenario 3",'CBA Inputs'!AD$227-'CBA Inputs'!AD230,0)+IF(Scenario_Select="Scenario 4",'CBA Inputs'!AD$242-'CBA Inputs'!AD245,0)),0)*AE$55</f>
        <v>107589956</v>
      </c>
      <c r="AF193" s="17">
        <f>IFERROR('Option inputs'!$F17*(IF(Scenario_Select="Scenario 1",'CBA Inputs'!AE$197-'CBA Inputs'!AE200,0)+IF(Scenario_Select="Scenario 2",'CBA Inputs'!AE$212-'CBA Inputs'!AE215,0)+IF(Scenario_Select="Scenario 3",'CBA Inputs'!AE$227-'CBA Inputs'!AE230,0)+IF(Scenario_Select="Scenario 4",'CBA Inputs'!AE$242-'CBA Inputs'!AE245,0)),0)*AF$55</f>
        <v>130332851</v>
      </c>
      <c r="AG193" s="17">
        <f>IFERROR('Option inputs'!$F17*(IF(Scenario_Select="Scenario 1",'CBA Inputs'!AF$197-'CBA Inputs'!AF200,0)+IF(Scenario_Select="Scenario 2",'CBA Inputs'!AF$212-'CBA Inputs'!AF215,0)+IF(Scenario_Select="Scenario 3",'CBA Inputs'!AF$227-'CBA Inputs'!AF230,0)+IF(Scenario_Select="Scenario 4",'CBA Inputs'!AF$242-'CBA Inputs'!AF245,0)),0)*AG$55</f>
        <v>0</v>
      </c>
      <c r="AH193" s="17">
        <f>IFERROR('Option inputs'!$F17*(IF(Scenario_Select="Scenario 1",'CBA Inputs'!AG$197-'CBA Inputs'!AG200,0)+IF(Scenario_Select="Scenario 2",'CBA Inputs'!AG$212-'CBA Inputs'!AG215,0)+IF(Scenario_Select="Scenario 3",'CBA Inputs'!AG$227-'CBA Inputs'!AG230,0)+IF(Scenario_Select="Scenario 4",'CBA Inputs'!AG$242-'CBA Inputs'!AG245,0)),0)*AH$55</f>
        <v>0</v>
      </c>
      <c r="AI193" s="17">
        <f>IFERROR('Option inputs'!$F17*(IF(Scenario_Select="Scenario 1",'CBA Inputs'!AH$197-'CBA Inputs'!AH200,0)+IF(Scenario_Select="Scenario 2",'CBA Inputs'!AH$212-'CBA Inputs'!AH215,0)+IF(Scenario_Select="Scenario 3",'CBA Inputs'!AH$227-'CBA Inputs'!AH230,0)+IF(Scenario_Select="Scenario 4",'CBA Inputs'!AH$242-'CBA Inputs'!AH245,0)),0)*AI$55</f>
        <v>0</v>
      </c>
      <c r="AJ193" s="17">
        <f>IFERROR('Option inputs'!$F17*(IF(Scenario_Select="Scenario 1",'CBA Inputs'!AI$197-'CBA Inputs'!AI200,0)+IF(Scenario_Select="Scenario 2",'CBA Inputs'!AI$212-'CBA Inputs'!AI215,0)+IF(Scenario_Select="Scenario 3",'CBA Inputs'!AI$227-'CBA Inputs'!AI230,0)+IF(Scenario_Select="Scenario 4",'CBA Inputs'!AI$242-'CBA Inputs'!AI245,0)),0)*AJ$55</f>
        <v>0</v>
      </c>
    </row>
    <row r="194" spans="2:36" x14ac:dyDescent="0.35">
      <c r="B194" s="9">
        <f>'Option inputs'!B18</f>
        <v>4</v>
      </c>
      <c r="C194" s="14" t="str">
        <f>'Option inputs'!C18</f>
        <v>Option 2A</v>
      </c>
      <c r="D194" s="26"/>
      <c r="E194" s="12" t="s">
        <v>35</v>
      </c>
      <c r="F194" s="18">
        <f t="shared" si="47"/>
        <v>1138613243.2932301</v>
      </c>
      <c r="G194" s="17">
        <f>IFERROR('Option inputs'!$F18*(IF(Scenario_Select="Scenario 1",'CBA Inputs'!F$197-'CBA Inputs'!F201,0)+IF(Scenario_Select="Scenario 2",'CBA Inputs'!F$212-'CBA Inputs'!F216,0)+IF(Scenario_Select="Scenario 3",'CBA Inputs'!F$227-'CBA Inputs'!F231,0)+IF(Scenario_Select="Scenario 4",'CBA Inputs'!F$242-'CBA Inputs'!F246,0)),0)*G$55</f>
        <v>0</v>
      </c>
      <c r="H194" s="17">
        <f>IFERROR('Option inputs'!$F18*(IF(Scenario_Select="Scenario 1",'CBA Inputs'!G$197-'CBA Inputs'!G201,0)+IF(Scenario_Select="Scenario 2",'CBA Inputs'!G$212-'CBA Inputs'!G216,0)+IF(Scenario_Select="Scenario 3",'CBA Inputs'!G$227-'CBA Inputs'!G231,0)+IF(Scenario_Select="Scenario 4",'CBA Inputs'!G$242-'CBA Inputs'!G246,0)),0)*H$55</f>
        <v>4000</v>
      </c>
      <c r="I194" s="17">
        <f>IFERROR('Option inputs'!$F18*(IF(Scenario_Select="Scenario 1",'CBA Inputs'!H$197-'CBA Inputs'!H201,0)+IF(Scenario_Select="Scenario 2",'CBA Inputs'!H$212-'CBA Inputs'!H216,0)+IF(Scenario_Select="Scenario 3",'CBA Inputs'!H$227-'CBA Inputs'!H231,0)+IF(Scenario_Select="Scenario 4",'CBA Inputs'!H$242-'CBA Inputs'!H246,0)),0)*I$55</f>
        <v>3871</v>
      </c>
      <c r="J194" s="17">
        <f>IFERROR('Option inputs'!$F18*(IF(Scenario_Select="Scenario 1",'CBA Inputs'!I$197-'CBA Inputs'!I201,0)+IF(Scenario_Select="Scenario 2",'CBA Inputs'!I$212-'CBA Inputs'!I216,0)+IF(Scenario_Select="Scenario 3",'CBA Inputs'!I$227-'CBA Inputs'!I231,0)+IF(Scenario_Select="Scenario 4",'CBA Inputs'!I$242-'CBA Inputs'!I246,0)),0)*J$55</f>
        <v>4235</v>
      </c>
      <c r="K194" s="17">
        <f>IFERROR('Option inputs'!$F18*(IF(Scenario_Select="Scenario 1",'CBA Inputs'!J$197-'CBA Inputs'!J201,0)+IF(Scenario_Select="Scenario 2",'CBA Inputs'!J$212-'CBA Inputs'!J216,0)+IF(Scenario_Select="Scenario 3",'CBA Inputs'!J$227-'CBA Inputs'!J231,0)+IF(Scenario_Select="Scenario 4",'CBA Inputs'!J$242-'CBA Inputs'!J246,0)),0)*K$55</f>
        <v>-30035481</v>
      </c>
      <c r="L194" s="17">
        <f>IFERROR('Option inputs'!$F18*(IF(Scenario_Select="Scenario 1",'CBA Inputs'!K$197-'CBA Inputs'!K201,0)+IF(Scenario_Select="Scenario 2",'CBA Inputs'!K$212-'CBA Inputs'!K216,0)+IF(Scenario_Select="Scenario 3",'CBA Inputs'!K$227-'CBA Inputs'!K231,0)+IF(Scenario_Select="Scenario 4",'CBA Inputs'!K$242-'CBA Inputs'!K246,0)),0)*L$55</f>
        <v>-25608382</v>
      </c>
      <c r="M194" s="17">
        <f>IFERROR('Option inputs'!$F18*(IF(Scenario_Select="Scenario 1",'CBA Inputs'!L$197-'CBA Inputs'!L201,0)+IF(Scenario_Select="Scenario 2",'CBA Inputs'!L$212-'CBA Inputs'!L216,0)+IF(Scenario_Select="Scenario 3",'CBA Inputs'!L$227-'CBA Inputs'!L231,0)+IF(Scenario_Select="Scenario 4",'CBA Inputs'!L$242-'CBA Inputs'!L246,0)),0)*M$55</f>
        <v>-25112641</v>
      </c>
      <c r="N194" s="17">
        <f>IFERROR('Option inputs'!$F18*(IF(Scenario_Select="Scenario 1",'CBA Inputs'!M$197-'CBA Inputs'!M201,0)+IF(Scenario_Select="Scenario 2",'CBA Inputs'!M$212-'CBA Inputs'!M216,0)+IF(Scenario_Select="Scenario 3",'CBA Inputs'!M$227-'CBA Inputs'!M231,0)+IF(Scenario_Select="Scenario 4",'CBA Inputs'!M$242-'CBA Inputs'!M246,0)),0)*N$55</f>
        <v>-12906931</v>
      </c>
      <c r="O194" s="17">
        <f>IFERROR('Option inputs'!$F18*(IF(Scenario_Select="Scenario 1",'CBA Inputs'!N$197-'CBA Inputs'!N201,0)+IF(Scenario_Select="Scenario 2",'CBA Inputs'!N$212-'CBA Inputs'!N216,0)+IF(Scenario_Select="Scenario 3",'CBA Inputs'!N$227-'CBA Inputs'!N231,0)+IF(Scenario_Select="Scenario 4",'CBA Inputs'!N$242-'CBA Inputs'!N246,0)),0)*O$55</f>
        <v>-13667044</v>
      </c>
      <c r="P194" s="17">
        <f>IFERROR('Option inputs'!$F18*(IF(Scenario_Select="Scenario 1",'CBA Inputs'!O$197-'CBA Inputs'!O201,0)+IF(Scenario_Select="Scenario 2",'CBA Inputs'!O$212-'CBA Inputs'!O216,0)+IF(Scenario_Select="Scenario 3",'CBA Inputs'!O$227-'CBA Inputs'!O231,0)+IF(Scenario_Select="Scenario 4",'CBA Inputs'!O$242-'CBA Inputs'!O246,0)),0)*P$55</f>
        <v>-16374486</v>
      </c>
      <c r="Q194" s="17">
        <f>IFERROR('Option inputs'!$F18*(IF(Scenario_Select="Scenario 1",'CBA Inputs'!P$197-'CBA Inputs'!P201,0)+IF(Scenario_Select="Scenario 2",'CBA Inputs'!P$212-'CBA Inputs'!P216,0)+IF(Scenario_Select="Scenario 3",'CBA Inputs'!P$227-'CBA Inputs'!P231,0)+IF(Scenario_Select="Scenario 4",'CBA Inputs'!P$242-'CBA Inputs'!P246,0)),0)*Q$55</f>
        <v>-49317571</v>
      </c>
      <c r="R194" s="17">
        <f>IFERROR('Option inputs'!$F18*(IF(Scenario_Select="Scenario 1",'CBA Inputs'!Q$197-'CBA Inputs'!Q201,0)+IF(Scenario_Select="Scenario 2",'CBA Inputs'!Q$212-'CBA Inputs'!Q216,0)+IF(Scenario_Select="Scenario 3",'CBA Inputs'!Q$227-'CBA Inputs'!Q231,0)+IF(Scenario_Select="Scenario 4",'CBA Inputs'!Q$242-'CBA Inputs'!Q246,0)),0)*R$55</f>
        <v>-7971508</v>
      </c>
      <c r="S194" s="17">
        <f>IFERROR('Option inputs'!$F18*(IF(Scenario_Select="Scenario 1",'CBA Inputs'!R$197-'CBA Inputs'!R201,0)+IF(Scenario_Select="Scenario 2",'CBA Inputs'!R$212-'CBA Inputs'!R216,0)+IF(Scenario_Select="Scenario 3",'CBA Inputs'!R$227-'CBA Inputs'!R231,0)+IF(Scenario_Select="Scenario 4",'CBA Inputs'!R$242-'CBA Inputs'!R246,0)),0)*S$55</f>
        <v>28865787</v>
      </c>
      <c r="T194" s="17">
        <f>IFERROR('Option inputs'!$F18*(IF(Scenario_Select="Scenario 1",'CBA Inputs'!S$197-'CBA Inputs'!S201,0)+IF(Scenario_Select="Scenario 2",'CBA Inputs'!S$212-'CBA Inputs'!S216,0)+IF(Scenario_Select="Scenario 3",'CBA Inputs'!S$227-'CBA Inputs'!S231,0)+IF(Scenario_Select="Scenario 4",'CBA Inputs'!S$242-'CBA Inputs'!S246,0)),0)*T$55</f>
        <v>43052945</v>
      </c>
      <c r="U194" s="17">
        <f>IFERROR('Option inputs'!$F18*(IF(Scenario_Select="Scenario 1",'CBA Inputs'!T$197-'CBA Inputs'!T201,0)+IF(Scenario_Select="Scenario 2",'CBA Inputs'!T$212-'CBA Inputs'!T216,0)+IF(Scenario_Select="Scenario 3",'CBA Inputs'!T$227-'CBA Inputs'!T231,0)+IF(Scenario_Select="Scenario 4",'CBA Inputs'!T$242-'CBA Inputs'!T246,0)),0)*U$55</f>
        <v>46963503</v>
      </c>
      <c r="V194" s="17">
        <f>IFERROR('Option inputs'!$F18*(IF(Scenario_Select="Scenario 1",'CBA Inputs'!U$197-'CBA Inputs'!U201,0)+IF(Scenario_Select="Scenario 2",'CBA Inputs'!U$212-'CBA Inputs'!U216,0)+IF(Scenario_Select="Scenario 3",'CBA Inputs'!U$227-'CBA Inputs'!U231,0)+IF(Scenario_Select="Scenario 4",'CBA Inputs'!U$242-'CBA Inputs'!U246,0)),0)*V$55</f>
        <v>55505852</v>
      </c>
      <c r="W194" s="17">
        <f>IFERROR('Option inputs'!$F18*(IF(Scenario_Select="Scenario 1",'CBA Inputs'!V$197-'CBA Inputs'!V201,0)+IF(Scenario_Select="Scenario 2",'CBA Inputs'!V$212-'CBA Inputs'!V216,0)+IF(Scenario_Select="Scenario 3",'CBA Inputs'!V$227-'CBA Inputs'!V231,0)+IF(Scenario_Select="Scenario 4",'CBA Inputs'!V$242-'CBA Inputs'!V246,0)),0)*W$55</f>
        <v>141050543</v>
      </c>
      <c r="X194" s="17">
        <f>IFERROR('Option inputs'!$F18*(IF(Scenario_Select="Scenario 1",'CBA Inputs'!W$197-'CBA Inputs'!W201,0)+IF(Scenario_Select="Scenario 2",'CBA Inputs'!W$212-'CBA Inputs'!W216,0)+IF(Scenario_Select="Scenario 3",'CBA Inputs'!W$227-'CBA Inputs'!W231,0)+IF(Scenario_Select="Scenario 4",'CBA Inputs'!W$242-'CBA Inputs'!W246,0)),0)*X$55</f>
        <v>146929728</v>
      </c>
      <c r="Y194" s="17">
        <f>IFERROR('Option inputs'!$F18*(IF(Scenario_Select="Scenario 1",'CBA Inputs'!X$197-'CBA Inputs'!X201,0)+IF(Scenario_Select="Scenario 2",'CBA Inputs'!X$212-'CBA Inputs'!X216,0)+IF(Scenario_Select="Scenario 3",'CBA Inputs'!X$227-'CBA Inputs'!X231,0)+IF(Scenario_Select="Scenario 4",'CBA Inputs'!X$242-'CBA Inputs'!X246,0)),0)*Y$55</f>
        <v>496320885</v>
      </c>
      <c r="Z194" s="17">
        <f>IFERROR('Option inputs'!$F18*(IF(Scenario_Select="Scenario 1",'CBA Inputs'!Y$197-'CBA Inputs'!Y201,0)+IF(Scenario_Select="Scenario 2",'CBA Inputs'!Y$212-'CBA Inputs'!Y216,0)+IF(Scenario_Select="Scenario 3",'CBA Inputs'!Y$227-'CBA Inputs'!Y231,0)+IF(Scenario_Select="Scenario 4",'CBA Inputs'!Y$242-'CBA Inputs'!Y246,0)),0)*Z$55</f>
        <v>453253519</v>
      </c>
      <c r="AA194" s="17">
        <f>IFERROR('Option inputs'!$F18*(IF(Scenario_Select="Scenario 1",'CBA Inputs'!Z$197-'CBA Inputs'!Z201,0)+IF(Scenario_Select="Scenario 2",'CBA Inputs'!Z$212-'CBA Inputs'!Z216,0)+IF(Scenario_Select="Scenario 3",'CBA Inputs'!Z$227-'CBA Inputs'!Z231,0)+IF(Scenario_Select="Scenario 4",'CBA Inputs'!Z$242-'CBA Inputs'!Z246,0)),0)*AA$55</f>
        <v>430823550</v>
      </c>
      <c r="AB194" s="17">
        <f>IFERROR('Option inputs'!$F18*(IF(Scenario_Select="Scenario 1",'CBA Inputs'!AA$197-'CBA Inputs'!AA201,0)+IF(Scenario_Select="Scenario 2",'CBA Inputs'!AA$212-'CBA Inputs'!AA216,0)+IF(Scenario_Select="Scenario 3",'CBA Inputs'!AA$227-'CBA Inputs'!AA231,0)+IF(Scenario_Select="Scenario 4",'CBA Inputs'!AA$242-'CBA Inputs'!AA246,0)),0)*AB$55</f>
        <v>425280725</v>
      </c>
      <c r="AC194" s="17">
        <f>IFERROR('Option inputs'!$F18*(IF(Scenario_Select="Scenario 1",'CBA Inputs'!AB$197-'CBA Inputs'!AB201,0)+IF(Scenario_Select="Scenario 2",'CBA Inputs'!AB$212-'CBA Inputs'!AB216,0)+IF(Scenario_Select="Scenario 3",'CBA Inputs'!AB$227-'CBA Inputs'!AB231,0)+IF(Scenario_Select="Scenario 4",'CBA Inputs'!AB$242-'CBA Inputs'!AB246,0)),0)*AC$55</f>
        <v>427920346</v>
      </c>
      <c r="AD194" s="17">
        <f>IFERROR('Option inputs'!$F18*(IF(Scenario_Select="Scenario 1",'CBA Inputs'!AC$197-'CBA Inputs'!AC201,0)+IF(Scenario_Select="Scenario 2",'CBA Inputs'!AC$212-'CBA Inputs'!AC216,0)+IF(Scenario_Select="Scenario 3",'CBA Inputs'!AC$227-'CBA Inputs'!AC231,0)+IF(Scenario_Select="Scenario 4",'CBA Inputs'!AC$242-'CBA Inputs'!AC246,0)),0)*AD$55</f>
        <v>488144387</v>
      </c>
      <c r="AE194" s="17">
        <f>IFERROR('Option inputs'!$F18*(IF(Scenario_Select="Scenario 1",'CBA Inputs'!AD$197-'CBA Inputs'!AD201,0)+IF(Scenario_Select="Scenario 2",'CBA Inputs'!AD$212-'CBA Inputs'!AD216,0)+IF(Scenario_Select="Scenario 3",'CBA Inputs'!AD$227-'CBA Inputs'!AD231,0)+IF(Scenario_Select="Scenario 4",'CBA Inputs'!AD$242-'CBA Inputs'!AD246,0)),0)*AE$55</f>
        <v>431235767</v>
      </c>
      <c r="AF194" s="17">
        <f>IFERROR('Option inputs'!$F18*(IF(Scenario_Select="Scenario 1",'CBA Inputs'!AE$197-'CBA Inputs'!AE201,0)+IF(Scenario_Select="Scenario 2",'CBA Inputs'!AE$212-'CBA Inputs'!AE216,0)+IF(Scenario_Select="Scenario 3",'CBA Inputs'!AE$227-'CBA Inputs'!AE231,0)+IF(Scenario_Select="Scenario 4",'CBA Inputs'!AE$242-'CBA Inputs'!AE246,0)),0)*AF$55</f>
        <v>472213919</v>
      </c>
      <c r="AG194" s="17">
        <f>IFERROR('Option inputs'!$F18*(IF(Scenario_Select="Scenario 1",'CBA Inputs'!AF$197-'CBA Inputs'!AF201,0)+IF(Scenario_Select="Scenario 2",'CBA Inputs'!AF$212-'CBA Inputs'!AF216,0)+IF(Scenario_Select="Scenario 3",'CBA Inputs'!AF$227-'CBA Inputs'!AF231,0)+IF(Scenario_Select="Scenario 4",'CBA Inputs'!AF$242-'CBA Inputs'!AF246,0)),0)*AG$55</f>
        <v>0</v>
      </c>
      <c r="AH194" s="17">
        <f>IFERROR('Option inputs'!$F18*(IF(Scenario_Select="Scenario 1",'CBA Inputs'!AG$197-'CBA Inputs'!AG201,0)+IF(Scenario_Select="Scenario 2",'CBA Inputs'!AG$212-'CBA Inputs'!AG216,0)+IF(Scenario_Select="Scenario 3",'CBA Inputs'!AG$227-'CBA Inputs'!AG231,0)+IF(Scenario_Select="Scenario 4",'CBA Inputs'!AG$242-'CBA Inputs'!AG246,0)),0)*AH$55</f>
        <v>0</v>
      </c>
      <c r="AI194" s="17">
        <f>IFERROR('Option inputs'!$F18*(IF(Scenario_Select="Scenario 1",'CBA Inputs'!AH$197-'CBA Inputs'!AH201,0)+IF(Scenario_Select="Scenario 2",'CBA Inputs'!AH$212-'CBA Inputs'!AH216,0)+IF(Scenario_Select="Scenario 3",'CBA Inputs'!AH$227-'CBA Inputs'!AH231,0)+IF(Scenario_Select="Scenario 4",'CBA Inputs'!AH$242-'CBA Inputs'!AH246,0)),0)*AI$55</f>
        <v>0</v>
      </c>
      <c r="AJ194" s="17">
        <f>IFERROR('Option inputs'!$F18*(IF(Scenario_Select="Scenario 1",'CBA Inputs'!AI$197-'CBA Inputs'!AI201,0)+IF(Scenario_Select="Scenario 2",'CBA Inputs'!AI$212-'CBA Inputs'!AI216,0)+IF(Scenario_Select="Scenario 3",'CBA Inputs'!AI$227-'CBA Inputs'!AI231,0)+IF(Scenario_Select="Scenario 4",'CBA Inputs'!AI$242-'CBA Inputs'!AI246,0)),0)*AJ$55</f>
        <v>0</v>
      </c>
    </row>
    <row r="195" spans="2:36" x14ac:dyDescent="0.35">
      <c r="B195" s="9">
        <f>'Option inputs'!B19</f>
        <v>5</v>
      </c>
      <c r="C195" s="14" t="str">
        <f>'Option inputs'!C19</f>
        <v>Option 2B</v>
      </c>
      <c r="D195" s="26"/>
      <c r="E195" s="12" t="s">
        <v>35</v>
      </c>
      <c r="F195" s="18">
        <f t="shared" si="47"/>
        <v>1367350239.3169513</v>
      </c>
      <c r="G195" s="17">
        <f>IFERROR('Option inputs'!$F19*(IF(Scenario_Select="Scenario 1",'CBA Inputs'!F$197-'CBA Inputs'!F202,0)+IF(Scenario_Select="Scenario 2",'CBA Inputs'!F$212-'CBA Inputs'!F217,0)+IF(Scenario_Select="Scenario 3",'CBA Inputs'!F$227-'CBA Inputs'!F232,0)+IF(Scenario_Select="Scenario 4",'CBA Inputs'!F$242-'CBA Inputs'!F247,0)),0)*G$55</f>
        <v>0</v>
      </c>
      <c r="H195" s="17">
        <f>IFERROR('Option inputs'!$F19*(IF(Scenario_Select="Scenario 1",'CBA Inputs'!G$197-'CBA Inputs'!G202,0)+IF(Scenario_Select="Scenario 2",'CBA Inputs'!G$212-'CBA Inputs'!G217,0)+IF(Scenario_Select="Scenario 3",'CBA Inputs'!G$227-'CBA Inputs'!G232,0)+IF(Scenario_Select="Scenario 4",'CBA Inputs'!G$242-'CBA Inputs'!G247,0)),0)*H$55</f>
        <v>3214</v>
      </c>
      <c r="I195" s="17">
        <f>IFERROR('Option inputs'!$F19*(IF(Scenario_Select="Scenario 1",'CBA Inputs'!H$197-'CBA Inputs'!H202,0)+IF(Scenario_Select="Scenario 2",'CBA Inputs'!H$212-'CBA Inputs'!H217,0)+IF(Scenario_Select="Scenario 3",'CBA Inputs'!H$227-'CBA Inputs'!H232,0)+IF(Scenario_Select="Scenario 4",'CBA Inputs'!H$242-'CBA Inputs'!H247,0)),0)*I$55</f>
        <v>3151</v>
      </c>
      <c r="J195" s="17">
        <f>IFERROR('Option inputs'!$F19*(IF(Scenario_Select="Scenario 1",'CBA Inputs'!I$197-'CBA Inputs'!I202,0)+IF(Scenario_Select="Scenario 2",'CBA Inputs'!I$212-'CBA Inputs'!I217,0)+IF(Scenario_Select="Scenario 3",'CBA Inputs'!I$227-'CBA Inputs'!I232,0)+IF(Scenario_Select="Scenario 4",'CBA Inputs'!I$242-'CBA Inputs'!I247,0)),0)*J$55</f>
        <v>3554</v>
      </c>
      <c r="K195" s="17">
        <f>IFERROR('Option inputs'!$F19*(IF(Scenario_Select="Scenario 1",'CBA Inputs'!J$197-'CBA Inputs'!J202,0)+IF(Scenario_Select="Scenario 2",'CBA Inputs'!J$212-'CBA Inputs'!J217,0)+IF(Scenario_Select="Scenario 3",'CBA Inputs'!J$227-'CBA Inputs'!J232,0)+IF(Scenario_Select="Scenario 4",'CBA Inputs'!J$242-'CBA Inputs'!J247,0)),0)*K$55</f>
        <v>-32859635</v>
      </c>
      <c r="L195" s="17">
        <f>IFERROR('Option inputs'!$F19*(IF(Scenario_Select="Scenario 1",'CBA Inputs'!K$197-'CBA Inputs'!K202,0)+IF(Scenario_Select="Scenario 2",'CBA Inputs'!K$212-'CBA Inputs'!K217,0)+IF(Scenario_Select="Scenario 3",'CBA Inputs'!K$227-'CBA Inputs'!K232,0)+IF(Scenario_Select="Scenario 4",'CBA Inputs'!K$242-'CBA Inputs'!K247,0)),0)*L$55</f>
        <v>-25108921</v>
      </c>
      <c r="M195" s="17">
        <f>IFERROR('Option inputs'!$F19*(IF(Scenario_Select="Scenario 1",'CBA Inputs'!L$197-'CBA Inputs'!L202,0)+IF(Scenario_Select="Scenario 2",'CBA Inputs'!L$212-'CBA Inputs'!L217,0)+IF(Scenario_Select="Scenario 3",'CBA Inputs'!L$227-'CBA Inputs'!L232,0)+IF(Scenario_Select="Scenario 4",'CBA Inputs'!L$242-'CBA Inputs'!L247,0)),0)*M$55</f>
        <v>-24429491</v>
      </c>
      <c r="N195" s="17">
        <f>IFERROR('Option inputs'!$F19*(IF(Scenario_Select="Scenario 1",'CBA Inputs'!M$197-'CBA Inputs'!M202,0)+IF(Scenario_Select="Scenario 2",'CBA Inputs'!M$212-'CBA Inputs'!M217,0)+IF(Scenario_Select="Scenario 3",'CBA Inputs'!M$227-'CBA Inputs'!M232,0)+IF(Scenario_Select="Scenario 4",'CBA Inputs'!M$242-'CBA Inputs'!M247,0)),0)*N$55</f>
        <v>-11576081</v>
      </c>
      <c r="O195" s="17">
        <f>IFERROR('Option inputs'!$F19*(IF(Scenario_Select="Scenario 1",'CBA Inputs'!N$197-'CBA Inputs'!N202,0)+IF(Scenario_Select="Scenario 2",'CBA Inputs'!N$212-'CBA Inputs'!N217,0)+IF(Scenario_Select="Scenario 3",'CBA Inputs'!N$227-'CBA Inputs'!N232,0)+IF(Scenario_Select="Scenario 4",'CBA Inputs'!N$242-'CBA Inputs'!N247,0)),0)*O$55</f>
        <v>-12463421</v>
      </c>
      <c r="P195" s="17">
        <f>IFERROR('Option inputs'!$F19*(IF(Scenario_Select="Scenario 1",'CBA Inputs'!O$197-'CBA Inputs'!O202,0)+IF(Scenario_Select="Scenario 2",'CBA Inputs'!O$212-'CBA Inputs'!O217,0)+IF(Scenario_Select="Scenario 3",'CBA Inputs'!O$227-'CBA Inputs'!O232,0)+IF(Scenario_Select="Scenario 4",'CBA Inputs'!O$242-'CBA Inputs'!O247,0)),0)*P$55</f>
        <v>-15834470</v>
      </c>
      <c r="Q195" s="17">
        <f>IFERROR('Option inputs'!$F19*(IF(Scenario_Select="Scenario 1",'CBA Inputs'!P$197-'CBA Inputs'!P202,0)+IF(Scenario_Select="Scenario 2",'CBA Inputs'!P$212-'CBA Inputs'!P217,0)+IF(Scenario_Select="Scenario 3",'CBA Inputs'!P$227-'CBA Inputs'!P232,0)+IF(Scenario_Select="Scenario 4",'CBA Inputs'!P$242-'CBA Inputs'!P247,0)),0)*Q$55</f>
        <v>-61755166</v>
      </c>
      <c r="R195" s="17">
        <f>IFERROR('Option inputs'!$F19*(IF(Scenario_Select="Scenario 1",'CBA Inputs'!Q$197-'CBA Inputs'!Q202,0)+IF(Scenario_Select="Scenario 2",'CBA Inputs'!Q$212-'CBA Inputs'!Q217,0)+IF(Scenario_Select="Scenario 3",'CBA Inputs'!Q$227-'CBA Inputs'!Q232,0)+IF(Scenario_Select="Scenario 4",'CBA Inputs'!Q$242-'CBA Inputs'!Q247,0)),0)*R$55</f>
        <v>3991991</v>
      </c>
      <c r="S195" s="17">
        <f>IFERROR('Option inputs'!$F19*(IF(Scenario_Select="Scenario 1",'CBA Inputs'!R$197-'CBA Inputs'!R202,0)+IF(Scenario_Select="Scenario 2",'CBA Inputs'!R$212-'CBA Inputs'!R217,0)+IF(Scenario_Select="Scenario 3",'CBA Inputs'!R$227-'CBA Inputs'!R232,0)+IF(Scenario_Select="Scenario 4",'CBA Inputs'!R$242-'CBA Inputs'!R247,0)),0)*S$55</f>
        <v>-1862246</v>
      </c>
      <c r="T195" s="17">
        <f>IFERROR('Option inputs'!$F19*(IF(Scenario_Select="Scenario 1",'CBA Inputs'!S$197-'CBA Inputs'!S202,0)+IF(Scenario_Select="Scenario 2",'CBA Inputs'!S$212-'CBA Inputs'!S217,0)+IF(Scenario_Select="Scenario 3",'CBA Inputs'!S$227-'CBA Inputs'!S232,0)+IF(Scenario_Select="Scenario 4",'CBA Inputs'!S$242-'CBA Inputs'!S247,0)),0)*T$55</f>
        <v>26295562</v>
      </c>
      <c r="U195" s="17">
        <f>IFERROR('Option inputs'!$F19*(IF(Scenario_Select="Scenario 1",'CBA Inputs'!T$197-'CBA Inputs'!T202,0)+IF(Scenario_Select="Scenario 2",'CBA Inputs'!T$212-'CBA Inputs'!T217,0)+IF(Scenario_Select="Scenario 3",'CBA Inputs'!T$227-'CBA Inputs'!T232,0)+IF(Scenario_Select="Scenario 4",'CBA Inputs'!T$242-'CBA Inputs'!T247,0)),0)*U$55</f>
        <v>38814188</v>
      </c>
      <c r="V195" s="17">
        <f>IFERROR('Option inputs'!$F19*(IF(Scenario_Select="Scenario 1",'CBA Inputs'!U$197-'CBA Inputs'!U202,0)+IF(Scenario_Select="Scenario 2",'CBA Inputs'!U$212-'CBA Inputs'!U217,0)+IF(Scenario_Select="Scenario 3",'CBA Inputs'!U$227-'CBA Inputs'!U232,0)+IF(Scenario_Select="Scenario 4",'CBA Inputs'!U$242-'CBA Inputs'!U247,0)),0)*V$55</f>
        <v>36895367</v>
      </c>
      <c r="W195" s="17">
        <f>IFERROR('Option inputs'!$F19*(IF(Scenario_Select="Scenario 1",'CBA Inputs'!V$197-'CBA Inputs'!V202,0)+IF(Scenario_Select="Scenario 2",'CBA Inputs'!V$212-'CBA Inputs'!V217,0)+IF(Scenario_Select="Scenario 3",'CBA Inputs'!V$227-'CBA Inputs'!V232,0)+IF(Scenario_Select="Scenario 4",'CBA Inputs'!V$242-'CBA Inputs'!V247,0)),0)*W$55</f>
        <v>159808812</v>
      </c>
      <c r="X195" s="17">
        <f>IFERROR('Option inputs'!$F19*(IF(Scenario_Select="Scenario 1",'CBA Inputs'!W$197-'CBA Inputs'!W202,0)+IF(Scenario_Select="Scenario 2",'CBA Inputs'!W$212-'CBA Inputs'!W217,0)+IF(Scenario_Select="Scenario 3",'CBA Inputs'!W$227-'CBA Inputs'!W232,0)+IF(Scenario_Select="Scenario 4",'CBA Inputs'!W$242-'CBA Inputs'!W247,0)),0)*X$55</f>
        <v>169030195</v>
      </c>
      <c r="Y195" s="17">
        <f>IFERROR('Option inputs'!$F19*(IF(Scenario_Select="Scenario 1",'CBA Inputs'!X$197-'CBA Inputs'!X202,0)+IF(Scenario_Select="Scenario 2",'CBA Inputs'!X$212-'CBA Inputs'!X217,0)+IF(Scenario_Select="Scenario 3",'CBA Inputs'!X$227-'CBA Inputs'!X232,0)+IF(Scenario_Select="Scenario 4",'CBA Inputs'!X$242-'CBA Inputs'!X247,0)),0)*Y$55</f>
        <v>582764446</v>
      </c>
      <c r="Z195" s="17">
        <f>IFERROR('Option inputs'!$F19*(IF(Scenario_Select="Scenario 1",'CBA Inputs'!Y$197-'CBA Inputs'!Y202,0)+IF(Scenario_Select="Scenario 2",'CBA Inputs'!Y$212-'CBA Inputs'!Y217,0)+IF(Scenario_Select="Scenario 3",'CBA Inputs'!Y$227-'CBA Inputs'!Y232,0)+IF(Scenario_Select="Scenario 4",'CBA Inputs'!Y$242-'CBA Inputs'!Y247,0)),0)*Z$55</f>
        <v>544905494</v>
      </c>
      <c r="AA195" s="17">
        <f>IFERROR('Option inputs'!$F19*(IF(Scenario_Select="Scenario 1",'CBA Inputs'!Z$197-'CBA Inputs'!Z202,0)+IF(Scenario_Select="Scenario 2",'CBA Inputs'!Z$212-'CBA Inputs'!Z217,0)+IF(Scenario_Select="Scenario 3",'CBA Inputs'!Z$227-'CBA Inputs'!Z232,0)+IF(Scenario_Select="Scenario 4",'CBA Inputs'!Z$242-'CBA Inputs'!Z247,0)),0)*AA$55</f>
        <v>550738458</v>
      </c>
      <c r="AB195" s="17">
        <f>IFERROR('Option inputs'!$F19*(IF(Scenario_Select="Scenario 1",'CBA Inputs'!AA$197-'CBA Inputs'!AA202,0)+IF(Scenario_Select="Scenario 2",'CBA Inputs'!AA$212-'CBA Inputs'!AA217,0)+IF(Scenario_Select="Scenario 3",'CBA Inputs'!AA$227-'CBA Inputs'!AA232,0)+IF(Scenario_Select="Scenario 4",'CBA Inputs'!AA$242-'CBA Inputs'!AA247,0)),0)*AB$55</f>
        <v>533657385</v>
      </c>
      <c r="AC195" s="17">
        <f>IFERROR('Option inputs'!$F19*(IF(Scenario_Select="Scenario 1",'CBA Inputs'!AB$197-'CBA Inputs'!AB202,0)+IF(Scenario_Select="Scenario 2",'CBA Inputs'!AB$212-'CBA Inputs'!AB217,0)+IF(Scenario_Select="Scenario 3",'CBA Inputs'!AB$227-'CBA Inputs'!AB232,0)+IF(Scenario_Select="Scenario 4",'CBA Inputs'!AB$242-'CBA Inputs'!AB247,0)),0)*AC$55</f>
        <v>526727700</v>
      </c>
      <c r="AD195" s="17">
        <f>IFERROR('Option inputs'!$F19*(IF(Scenario_Select="Scenario 1",'CBA Inputs'!AC$197-'CBA Inputs'!AC202,0)+IF(Scenario_Select="Scenario 2",'CBA Inputs'!AC$212-'CBA Inputs'!AC217,0)+IF(Scenario_Select="Scenario 3",'CBA Inputs'!AC$227-'CBA Inputs'!AC232,0)+IF(Scenario_Select="Scenario 4",'CBA Inputs'!AC$242-'CBA Inputs'!AC247,0)),0)*AD$55</f>
        <v>604267227</v>
      </c>
      <c r="AE195" s="17">
        <f>IFERROR('Option inputs'!$F19*(IF(Scenario_Select="Scenario 1",'CBA Inputs'!AD$197-'CBA Inputs'!AD202,0)+IF(Scenario_Select="Scenario 2",'CBA Inputs'!AD$212-'CBA Inputs'!AD217,0)+IF(Scenario_Select="Scenario 3",'CBA Inputs'!AD$227-'CBA Inputs'!AD232,0)+IF(Scenario_Select="Scenario 4",'CBA Inputs'!AD$242-'CBA Inputs'!AD247,0)),0)*AE$55</f>
        <v>538918548</v>
      </c>
      <c r="AF195" s="17">
        <f>IFERROR('Option inputs'!$F19*(IF(Scenario_Select="Scenario 1",'CBA Inputs'!AE$197-'CBA Inputs'!AE202,0)+IF(Scenario_Select="Scenario 2",'CBA Inputs'!AE$212-'CBA Inputs'!AE217,0)+IF(Scenario_Select="Scenario 3",'CBA Inputs'!AE$227-'CBA Inputs'!AE232,0)+IF(Scenario_Select="Scenario 4",'CBA Inputs'!AE$242-'CBA Inputs'!AE247,0)),0)*AF$55</f>
        <v>595253081</v>
      </c>
      <c r="AG195" s="17">
        <f>IFERROR('Option inputs'!$F19*(IF(Scenario_Select="Scenario 1",'CBA Inputs'!AF$197-'CBA Inputs'!AF202,0)+IF(Scenario_Select="Scenario 2",'CBA Inputs'!AF$212-'CBA Inputs'!AF217,0)+IF(Scenario_Select="Scenario 3",'CBA Inputs'!AF$227-'CBA Inputs'!AF232,0)+IF(Scenario_Select="Scenario 4",'CBA Inputs'!AF$242-'CBA Inputs'!AF247,0)),0)*AG$55</f>
        <v>0</v>
      </c>
      <c r="AH195" s="17">
        <f>IFERROR('Option inputs'!$F19*(IF(Scenario_Select="Scenario 1",'CBA Inputs'!AG$197-'CBA Inputs'!AG202,0)+IF(Scenario_Select="Scenario 2",'CBA Inputs'!AG$212-'CBA Inputs'!AG217,0)+IF(Scenario_Select="Scenario 3",'CBA Inputs'!AG$227-'CBA Inputs'!AG232,0)+IF(Scenario_Select="Scenario 4",'CBA Inputs'!AG$242-'CBA Inputs'!AG247,0)),0)*AH$55</f>
        <v>0</v>
      </c>
      <c r="AI195" s="17">
        <f>IFERROR('Option inputs'!$F19*(IF(Scenario_Select="Scenario 1",'CBA Inputs'!AH$197-'CBA Inputs'!AH202,0)+IF(Scenario_Select="Scenario 2",'CBA Inputs'!AH$212-'CBA Inputs'!AH217,0)+IF(Scenario_Select="Scenario 3",'CBA Inputs'!AH$227-'CBA Inputs'!AH232,0)+IF(Scenario_Select="Scenario 4",'CBA Inputs'!AH$242-'CBA Inputs'!AH247,0)),0)*AI$55</f>
        <v>0</v>
      </c>
      <c r="AJ195" s="17">
        <f>IFERROR('Option inputs'!$F19*(IF(Scenario_Select="Scenario 1",'CBA Inputs'!AI$197-'CBA Inputs'!AI202,0)+IF(Scenario_Select="Scenario 2",'CBA Inputs'!AI$212-'CBA Inputs'!AI217,0)+IF(Scenario_Select="Scenario 3",'CBA Inputs'!AI$227-'CBA Inputs'!AI232,0)+IF(Scenario_Select="Scenario 4",'CBA Inputs'!AI$242-'CBA Inputs'!AI247,0)),0)*AJ$55</f>
        <v>0</v>
      </c>
    </row>
    <row r="196" spans="2:36" x14ac:dyDescent="0.35">
      <c r="B196" s="9">
        <f>'Option inputs'!B20</f>
        <v>6</v>
      </c>
      <c r="C196" s="14" t="str">
        <f>'Option inputs'!C20</f>
        <v>Option 2C</v>
      </c>
      <c r="D196" s="26"/>
      <c r="E196" s="12" t="s">
        <v>35</v>
      </c>
      <c r="F196" s="18">
        <f t="shared" si="47"/>
        <v>1316168071.8347042</v>
      </c>
      <c r="G196" s="17">
        <f>IFERROR('Option inputs'!$F20*(IF(Scenario_Select="Scenario 1",'CBA Inputs'!F$197-'CBA Inputs'!F203,0)+IF(Scenario_Select="Scenario 2",'CBA Inputs'!F$212-'CBA Inputs'!F218,0)+IF(Scenario_Select="Scenario 3",'CBA Inputs'!F$227-'CBA Inputs'!F233,0)+IF(Scenario_Select="Scenario 4",'CBA Inputs'!F$242-'CBA Inputs'!F248,0)),0)*G$55</f>
        <v>0</v>
      </c>
      <c r="H196" s="17">
        <f>IFERROR('Option inputs'!$F20*(IF(Scenario_Select="Scenario 1",'CBA Inputs'!G$197-'CBA Inputs'!G203,0)+IF(Scenario_Select="Scenario 2",'CBA Inputs'!G$212-'CBA Inputs'!G218,0)+IF(Scenario_Select="Scenario 3",'CBA Inputs'!G$227-'CBA Inputs'!G233,0)+IF(Scenario_Select="Scenario 4",'CBA Inputs'!G$242-'CBA Inputs'!G248,0)),0)*H$55</f>
        <v>-913</v>
      </c>
      <c r="I196" s="17">
        <f>IFERROR('Option inputs'!$F20*(IF(Scenario_Select="Scenario 1",'CBA Inputs'!H$197-'CBA Inputs'!H203,0)+IF(Scenario_Select="Scenario 2",'CBA Inputs'!H$212-'CBA Inputs'!H218,0)+IF(Scenario_Select="Scenario 3",'CBA Inputs'!H$227-'CBA Inputs'!H233,0)+IF(Scenario_Select="Scenario 4",'CBA Inputs'!H$242-'CBA Inputs'!H248,0)),0)*I$55</f>
        <v>-760</v>
      </c>
      <c r="J196" s="17">
        <f>IFERROR('Option inputs'!$F20*(IF(Scenario_Select="Scenario 1",'CBA Inputs'!I$197-'CBA Inputs'!I203,0)+IF(Scenario_Select="Scenario 2",'CBA Inputs'!I$212-'CBA Inputs'!I218,0)+IF(Scenario_Select="Scenario 3",'CBA Inputs'!I$227-'CBA Inputs'!I233,0)+IF(Scenario_Select="Scenario 4",'CBA Inputs'!I$242-'CBA Inputs'!I248,0)),0)*J$55</f>
        <v>-1052</v>
      </c>
      <c r="K196" s="17">
        <f>IFERROR('Option inputs'!$F20*(IF(Scenario_Select="Scenario 1",'CBA Inputs'!J$197-'CBA Inputs'!J203,0)+IF(Scenario_Select="Scenario 2",'CBA Inputs'!J$212-'CBA Inputs'!J218,0)+IF(Scenario_Select="Scenario 3",'CBA Inputs'!J$227-'CBA Inputs'!J233,0)+IF(Scenario_Select="Scenario 4",'CBA Inputs'!J$242-'CBA Inputs'!J248,0)),0)*K$55</f>
        <v>-47199307</v>
      </c>
      <c r="L196" s="17">
        <f>IFERROR('Option inputs'!$F20*(IF(Scenario_Select="Scenario 1",'CBA Inputs'!K$197-'CBA Inputs'!K203,0)+IF(Scenario_Select="Scenario 2",'CBA Inputs'!K$212-'CBA Inputs'!K218,0)+IF(Scenario_Select="Scenario 3",'CBA Inputs'!K$227-'CBA Inputs'!K233,0)+IF(Scenario_Select="Scenario 4",'CBA Inputs'!K$242-'CBA Inputs'!K248,0)),0)*L$55</f>
        <v>-37408904</v>
      </c>
      <c r="M196" s="17">
        <f>IFERROR('Option inputs'!$F20*(IF(Scenario_Select="Scenario 1",'CBA Inputs'!L$197-'CBA Inputs'!L203,0)+IF(Scenario_Select="Scenario 2",'CBA Inputs'!L$212-'CBA Inputs'!L218,0)+IF(Scenario_Select="Scenario 3",'CBA Inputs'!L$227-'CBA Inputs'!L233,0)+IF(Scenario_Select="Scenario 4",'CBA Inputs'!L$242-'CBA Inputs'!L248,0)),0)*M$55</f>
        <v>-36335646</v>
      </c>
      <c r="N196" s="17">
        <f>IFERROR('Option inputs'!$F20*(IF(Scenario_Select="Scenario 1",'CBA Inputs'!M$197-'CBA Inputs'!M203,0)+IF(Scenario_Select="Scenario 2",'CBA Inputs'!M$212-'CBA Inputs'!M218,0)+IF(Scenario_Select="Scenario 3",'CBA Inputs'!M$227-'CBA Inputs'!M233,0)+IF(Scenario_Select="Scenario 4",'CBA Inputs'!M$242-'CBA Inputs'!M248,0)),0)*N$55</f>
        <v>-23504145</v>
      </c>
      <c r="O196" s="17">
        <f>IFERROR('Option inputs'!$F20*(IF(Scenario_Select="Scenario 1",'CBA Inputs'!N$197-'CBA Inputs'!N203,0)+IF(Scenario_Select="Scenario 2",'CBA Inputs'!N$212-'CBA Inputs'!N218,0)+IF(Scenario_Select="Scenario 3",'CBA Inputs'!N$227-'CBA Inputs'!N233,0)+IF(Scenario_Select="Scenario 4",'CBA Inputs'!N$242-'CBA Inputs'!N248,0)),0)*O$55</f>
        <v>-25540730</v>
      </c>
      <c r="P196" s="17">
        <f>IFERROR('Option inputs'!$F20*(IF(Scenario_Select="Scenario 1",'CBA Inputs'!O$197-'CBA Inputs'!O203,0)+IF(Scenario_Select="Scenario 2",'CBA Inputs'!O$212-'CBA Inputs'!O218,0)+IF(Scenario_Select="Scenario 3",'CBA Inputs'!O$227-'CBA Inputs'!O233,0)+IF(Scenario_Select="Scenario 4",'CBA Inputs'!O$242-'CBA Inputs'!O248,0)),0)*P$55</f>
        <v>-25540896</v>
      </c>
      <c r="Q196" s="17">
        <f>IFERROR('Option inputs'!$F20*(IF(Scenario_Select="Scenario 1",'CBA Inputs'!P$197-'CBA Inputs'!P203,0)+IF(Scenario_Select="Scenario 2",'CBA Inputs'!P$212-'CBA Inputs'!P218,0)+IF(Scenario_Select="Scenario 3",'CBA Inputs'!P$227-'CBA Inputs'!P233,0)+IF(Scenario_Select="Scenario 4",'CBA Inputs'!P$242-'CBA Inputs'!P248,0)),0)*Q$55</f>
        <v>-61831238</v>
      </c>
      <c r="R196" s="17">
        <f>IFERROR('Option inputs'!$F20*(IF(Scenario_Select="Scenario 1",'CBA Inputs'!Q$197-'CBA Inputs'!Q203,0)+IF(Scenario_Select="Scenario 2",'CBA Inputs'!Q$212-'CBA Inputs'!Q218,0)+IF(Scenario_Select="Scenario 3",'CBA Inputs'!Q$227-'CBA Inputs'!Q233,0)+IF(Scenario_Select="Scenario 4",'CBA Inputs'!Q$242-'CBA Inputs'!Q248,0)),0)*R$55</f>
        <v>3978678</v>
      </c>
      <c r="S196" s="17">
        <f>IFERROR('Option inputs'!$F20*(IF(Scenario_Select="Scenario 1",'CBA Inputs'!R$197-'CBA Inputs'!R203,0)+IF(Scenario_Select="Scenario 2",'CBA Inputs'!R$212-'CBA Inputs'!R218,0)+IF(Scenario_Select="Scenario 3",'CBA Inputs'!R$227-'CBA Inputs'!R233,0)+IF(Scenario_Select="Scenario 4",'CBA Inputs'!R$242-'CBA Inputs'!R248,0)),0)*S$55</f>
        <v>-1866407</v>
      </c>
      <c r="T196" s="17">
        <f>IFERROR('Option inputs'!$F20*(IF(Scenario_Select="Scenario 1",'CBA Inputs'!S$197-'CBA Inputs'!S203,0)+IF(Scenario_Select="Scenario 2",'CBA Inputs'!S$212-'CBA Inputs'!S218,0)+IF(Scenario_Select="Scenario 3",'CBA Inputs'!S$227-'CBA Inputs'!S233,0)+IF(Scenario_Select="Scenario 4",'CBA Inputs'!S$242-'CBA Inputs'!S248,0)),0)*T$55</f>
        <v>26278555</v>
      </c>
      <c r="U196" s="17">
        <f>IFERROR('Option inputs'!$F20*(IF(Scenario_Select="Scenario 1",'CBA Inputs'!T$197-'CBA Inputs'!T203,0)+IF(Scenario_Select="Scenario 2",'CBA Inputs'!T$212-'CBA Inputs'!T218,0)+IF(Scenario_Select="Scenario 3",'CBA Inputs'!T$227-'CBA Inputs'!T233,0)+IF(Scenario_Select="Scenario 4",'CBA Inputs'!T$242-'CBA Inputs'!T248,0)),0)*U$55</f>
        <v>38818970</v>
      </c>
      <c r="V196" s="17">
        <f>IFERROR('Option inputs'!$F20*(IF(Scenario_Select="Scenario 1",'CBA Inputs'!U$197-'CBA Inputs'!U203,0)+IF(Scenario_Select="Scenario 2",'CBA Inputs'!U$212-'CBA Inputs'!U218,0)+IF(Scenario_Select="Scenario 3",'CBA Inputs'!U$227-'CBA Inputs'!U233,0)+IF(Scenario_Select="Scenario 4",'CBA Inputs'!U$242-'CBA Inputs'!U248,0)),0)*V$55</f>
        <v>36865378</v>
      </c>
      <c r="W196" s="17">
        <f>IFERROR('Option inputs'!$F20*(IF(Scenario_Select="Scenario 1",'CBA Inputs'!V$197-'CBA Inputs'!V203,0)+IF(Scenario_Select="Scenario 2",'CBA Inputs'!V$212-'CBA Inputs'!V218,0)+IF(Scenario_Select="Scenario 3",'CBA Inputs'!V$227-'CBA Inputs'!V233,0)+IF(Scenario_Select="Scenario 4",'CBA Inputs'!V$242-'CBA Inputs'!V248,0)),0)*W$55</f>
        <v>159789963</v>
      </c>
      <c r="X196" s="17">
        <f>IFERROR('Option inputs'!$F20*(IF(Scenario_Select="Scenario 1",'CBA Inputs'!W$197-'CBA Inputs'!W203,0)+IF(Scenario_Select="Scenario 2",'CBA Inputs'!W$212-'CBA Inputs'!W218,0)+IF(Scenario_Select="Scenario 3",'CBA Inputs'!W$227-'CBA Inputs'!W233,0)+IF(Scenario_Select="Scenario 4",'CBA Inputs'!W$242-'CBA Inputs'!W248,0)),0)*X$55</f>
        <v>169036061</v>
      </c>
      <c r="Y196" s="17">
        <f>IFERROR('Option inputs'!$F20*(IF(Scenario_Select="Scenario 1",'CBA Inputs'!X$197-'CBA Inputs'!X203,0)+IF(Scenario_Select="Scenario 2",'CBA Inputs'!X$212-'CBA Inputs'!X218,0)+IF(Scenario_Select="Scenario 3",'CBA Inputs'!X$227-'CBA Inputs'!X233,0)+IF(Scenario_Select="Scenario 4",'CBA Inputs'!X$242-'CBA Inputs'!X248,0)),0)*Y$55</f>
        <v>582776989</v>
      </c>
      <c r="Z196" s="17">
        <f>IFERROR('Option inputs'!$F20*(IF(Scenario_Select="Scenario 1",'CBA Inputs'!Y$197-'CBA Inputs'!Y203,0)+IF(Scenario_Select="Scenario 2",'CBA Inputs'!Y$212-'CBA Inputs'!Y218,0)+IF(Scenario_Select="Scenario 3",'CBA Inputs'!Y$227-'CBA Inputs'!Y233,0)+IF(Scenario_Select="Scenario 4",'CBA Inputs'!Y$242-'CBA Inputs'!Y248,0)),0)*Z$55</f>
        <v>544910772</v>
      </c>
      <c r="AA196" s="17">
        <f>IFERROR('Option inputs'!$F20*(IF(Scenario_Select="Scenario 1",'CBA Inputs'!Z$197-'CBA Inputs'!Z203,0)+IF(Scenario_Select="Scenario 2",'CBA Inputs'!Z$212-'CBA Inputs'!Z218,0)+IF(Scenario_Select="Scenario 3",'CBA Inputs'!Z$227-'CBA Inputs'!Z233,0)+IF(Scenario_Select="Scenario 4",'CBA Inputs'!Z$242-'CBA Inputs'!Z248,0)),0)*AA$55</f>
        <v>550755477</v>
      </c>
      <c r="AB196" s="17">
        <f>IFERROR('Option inputs'!$F20*(IF(Scenario_Select="Scenario 1",'CBA Inputs'!AA$197-'CBA Inputs'!AA203,0)+IF(Scenario_Select="Scenario 2",'CBA Inputs'!AA$212-'CBA Inputs'!AA218,0)+IF(Scenario_Select="Scenario 3",'CBA Inputs'!AA$227-'CBA Inputs'!AA233,0)+IF(Scenario_Select="Scenario 4",'CBA Inputs'!AA$242-'CBA Inputs'!AA248,0)),0)*AB$55</f>
        <v>533662933</v>
      </c>
      <c r="AC196" s="17">
        <f>IFERROR('Option inputs'!$F20*(IF(Scenario_Select="Scenario 1",'CBA Inputs'!AB$197-'CBA Inputs'!AB203,0)+IF(Scenario_Select="Scenario 2",'CBA Inputs'!AB$212-'CBA Inputs'!AB218,0)+IF(Scenario_Select="Scenario 3",'CBA Inputs'!AB$227-'CBA Inputs'!AB233,0)+IF(Scenario_Select="Scenario 4",'CBA Inputs'!AB$242-'CBA Inputs'!AB248,0)),0)*AC$55</f>
        <v>526720743</v>
      </c>
      <c r="AD196" s="17">
        <f>IFERROR('Option inputs'!$F20*(IF(Scenario_Select="Scenario 1",'CBA Inputs'!AC$197-'CBA Inputs'!AC203,0)+IF(Scenario_Select="Scenario 2",'CBA Inputs'!AC$212-'CBA Inputs'!AC218,0)+IF(Scenario_Select="Scenario 3",'CBA Inputs'!AC$227-'CBA Inputs'!AC233,0)+IF(Scenario_Select="Scenario 4",'CBA Inputs'!AC$242-'CBA Inputs'!AC248,0)),0)*AD$55</f>
        <v>604296892</v>
      </c>
      <c r="AE196" s="17">
        <f>IFERROR('Option inputs'!$F20*(IF(Scenario_Select="Scenario 1",'CBA Inputs'!AD$197-'CBA Inputs'!AD203,0)+IF(Scenario_Select="Scenario 2",'CBA Inputs'!AD$212-'CBA Inputs'!AD218,0)+IF(Scenario_Select="Scenario 3",'CBA Inputs'!AD$227-'CBA Inputs'!AD233,0)+IF(Scenario_Select="Scenario 4",'CBA Inputs'!AD$242-'CBA Inputs'!AD248,0)),0)*AE$55</f>
        <v>538928474</v>
      </c>
      <c r="AF196" s="17">
        <f>IFERROR('Option inputs'!$F20*(IF(Scenario_Select="Scenario 1",'CBA Inputs'!AE$197-'CBA Inputs'!AE203,0)+IF(Scenario_Select="Scenario 2",'CBA Inputs'!AE$212-'CBA Inputs'!AE218,0)+IF(Scenario_Select="Scenario 3",'CBA Inputs'!AE$227-'CBA Inputs'!AE233,0)+IF(Scenario_Select="Scenario 4",'CBA Inputs'!AE$242-'CBA Inputs'!AE248,0)),0)*AF$55</f>
        <v>595282914</v>
      </c>
      <c r="AG196" s="17">
        <f>IFERROR('Option inputs'!$F20*(IF(Scenario_Select="Scenario 1",'CBA Inputs'!AF$197-'CBA Inputs'!AF203,0)+IF(Scenario_Select="Scenario 2",'CBA Inputs'!AF$212-'CBA Inputs'!AF218,0)+IF(Scenario_Select="Scenario 3",'CBA Inputs'!AF$227-'CBA Inputs'!AF233,0)+IF(Scenario_Select="Scenario 4",'CBA Inputs'!AF$242-'CBA Inputs'!AF248,0)),0)*AG$55</f>
        <v>0</v>
      </c>
      <c r="AH196" s="17">
        <f>IFERROR('Option inputs'!$F20*(IF(Scenario_Select="Scenario 1",'CBA Inputs'!AG$197-'CBA Inputs'!AG203,0)+IF(Scenario_Select="Scenario 2",'CBA Inputs'!AG$212-'CBA Inputs'!AG218,0)+IF(Scenario_Select="Scenario 3",'CBA Inputs'!AG$227-'CBA Inputs'!AG233,0)+IF(Scenario_Select="Scenario 4",'CBA Inputs'!AG$242-'CBA Inputs'!AG248,0)),0)*AH$55</f>
        <v>0</v>
      </c>
      <c r="AI196" s="17">
        <f>IFERROR('Option inputs'!$F20*(IF(Scenario_Select="Scenario 1",'CBA Inputs'!AH$197-'CBA Inputs'!AH203,0)+IF(Scenario_Select="Scenario 2",'CBA Inputs'!AH$212-'CBA Inputs'!AH218,0)+IF(Scenario_Select="Scenario 3",'CBA Inputs'!AH$227-'CBA Inputs'!AH233,0)+IF(Scenario_Select="Scenario 4",'CBA Inputs'!AH$242-'CBA Inputs'!AH248,0)),0)*AI$55</f>
        <v>0</v>
      </c>
      <c r="AJ196" s="17">
        <f>IFERROR('Option inputs'!$F20*(IF(Scenario_Select="Scenario 1",'CBA Inputs'!AI$197-'CBA Inputs'!AI203,0)+IF(Scenario_Select="Scenario 2",'CBA Inputs'!AI$212-'CBA Inputs'!AI218,0)+IF(Scenario_Select="Scenario 3",'CBA Inputs'!AI$227-'CBA Inputs'!AI233,0)+IF(Scenario_Select="Scenario 4",'CBA Inputs'!AI$242-'CBA Inputs'!AI248,0)),0)*AJ$55</f>
        <v>0</v>
      </c>
    </row>
    <row r="197" spans="2:36" x14ac:dyDescent="0.35">
      <c r="B197" s="9">
        <f>'Option inputs'!B21</f>
        <v>7</v>
      </c>
      <c r="C197" s="14" t="str">
        <f>'Option inputs'!C21</f>
        <v>Option 3A</v>
      </c>
      <c r="D197" s="26"/>
      <c r="E197" s="12" t="s">
        <v>35</v>
      </c>
      <c r="F197" s="18">
        <f t="shared" si="47"/>
        <v>1046892270.9326019</v>
      </c>
      <c r="G197" s="17">
        <f>IFERROR('Option inputs'!$F21*(IF(Scenario_Select="Scenario 1",'CBA Inputs'!F$197-'CBA Inputs'!F204,0)+IF(Scenario_Select="Scenario 2",'CBA Inputs'!F$212-'CBA Inputs'!F219,0)+IF(Scenario_Select="Scenario 3",'CBA Inputs'!F$227-'CBA Inputs'!F234,0)+IF(Scenario_Select="Scenario 4",'CBA Inputs'!F$242-'CBA Inputs'!F249,0)),0)*G$55</f>
        <v>0</v>
      </c>
      <c r="H197" s="17">
        <f>IFERROR('Option inputs'!$F21*(IF(Scenario_Select="Scenario 1",'CBA Inputs'!G$197-'CBA Inputs'!G204,0)+IF(Scenario_Select="Scenario 2",'CBA Inputs'!G$212-'CBA Inputs'!G219,0)+IF(Scenario_Select="Scenario 3",'CBA Inputs'!G$227-'CBA Inputs'!G234,0)+IF(Scenario_Select="Scenario 4",'CBA Inputs'!G$242-'CBA Inputs'!G249,0)),0)*H$55</f>
        <v>489</v>
      </c>
      <c r="I197" s="17">
        <f>IFERROR('Option inputs'!$F21*(IF(Scenario_Select="Scenario 1",'CBA Inputs'!H$197-'CBA Inputs'!H204,0)+IF(Scenario_Select="Scenario 2",'CBA Inputs'!H$212-'CBA Inputs'!H219,0)+IF(Scenario_Select="Scenario 3",'CBA Inputs'!H$227-'CBA Inputs'!H234,0)+IF(Scenario_Select="Scenario 4",'CBA Inputs'!H$242-'CBA Inputs'!H249,0)),0)*I$55</f>
        <v>533</v>
      </c>
      <c r="J197" s="17">
        <f>IFERROR('Option inputs'!$F21*(IF(Scenario_Select="Scenario 1",'CBA Inputs'!I$197-'CBA Inputs'!I204,0)+IF(Scenario_Select="Scenario 2",'CBA Inputs'!I$212-'CBA Inputs'!I219,0)+IF(Scenario_Select="Scenario 3",'CBA Inputs'!I$227-'CBA Inputs'!I234,0)+IF(Scenario_Select="Scenario 4",'CBA Inputs'!I$242-'CBA Inputs'!I249,0)),0)*J$55</f>
        <v>533</v>
      </c>
      <c r="K197" s="17">
        <f>IFERROR('Option inputs'!$F21*(IF(Scenario_Select="Scenario 1",'CBA Inputs'!J$197-'CBA Inputs'!J204,0)+IF(Scenario_Select="Scenario 2",'CBA Inputs'!J$212-'CBA Inputs'!J219,0)+IF(Scenario_Select="Scenario 3",'CBA Inputs'!J$227-'CBA Inputs'!J234,0)+IF(Scenario_Select="Scenario 4",'CBA Inputs'!J$242-'CBA Inputs'!J249,0)),0)*K$55</f>
        <v>-24870459</v>
      </c>
      <c r="L197" s="17">
        <f>IFERROR('Option inputs'!$F21*(IF(Scenario_Select="Scenario 1",'CBA Inputs'!K$197-'CBA Inputs'!K204,0)+IF(Scenario_Select="Scenario 2",'CBA Inputs'!K$212-'CBA Inputs'!K219,0)+IF(Scenario_Select="Scenario 3",'CBA Inputs'!K$227-'CBA Inputs'!K234,0)+IF(Scenario_Select="Scenario 4",'CBA Inputs'!K$242-'CBA Inputs'!K249,0)),0)*L$55</f>
        <v>-21073306</v>
      </c>
      <c r="M197" s="17">
        <f>IFERROR('Option inputs'!$F21*(IF(Scenario_Select="Scenario 1",'CBA Inputs'!L$197-'CBA Inputs'!L204,0)+IF(Scenario_Select="Scenario 2",'CBA Inputs'!L$212-'CBA Inputs'!L219,0)+IF(Scenario_Select="Scenario 3",'CBA Inputs'!L$227-'CBA Inputs'!L234,0)+IF(Scenario_Select="Scenario 4",'CBA Inputs'!L$242-'CBA Inputs'!L249,0)),0)*M$55</f>
        <v>-20735765</v>
      </c>
      <c r="N197" s="17">
        <f>IFERROR('Option inputs'!$F21*(IF(Scenario_Select="Scenario 1",'CBA Inputs'!M$197-'CBA Inputs'!M204,0)+IF(Scenario_Select="Scenario 2",'CBA Inputs'!M$212-'CBA Inputs'!M219,0)+IF(Scenario_Select="Scenario 3",'CBA Inputs'!M$227-'CBA Inputs'!M234,0)+IF(Scenario_Select="Scenario 4",'CBA Inputs'!M$242-'CBA Inputs'!M249,0)),0)*N$55</f>
        <v>-9657609</v>
      </c>
      <c r="O197" s="17">
        <f>IFERROR('Option inputs'!$F21*(IF(Scenario_Select="Scenario 1",'CBA Inputs'!N$197-'CBA Inputs'!N204,0)+IF(Scenario_Select="Scenario 2",'CBA Inputs'!N$212-'CBA Inputs'!N219,0)+IF(Scenario_Select="Scenario 3",'CBA Inputs'!N$227-'CBA Inputs'!N234,0)+IF(Scenario_Select="Scenario 4",'CBA Inputs'!N$242-'CBA Inputs'!N249,0)),0)*O$55</f>
        <v>-9357058</v>
      </c>
      <c r="P197" s="17">
        <f>IFERROR('Option inputs'!$F21*(IF(Scenario_Select="Scenario 1",'CBA Inputs'!O$197-'CBA Inputs'!O204,0)+IF(Scenario_Select="Scenario 2",'CBA Inputs'!O$212-'CBA Inputs'!O219,0)+IF(Scenario_Select="Scenario 3",'CBA Inputs'!O$227-'CBA Inputs'!O234,0)+IF(Scenario_Select="Scenario 4",'CBA Inputs'!O$242-'CBA Inputs'!O249,0)),0)*P$55</f>
        <v>-12227138</v>
      </c>
      <c r="Q197" s="17">
        <f>IFERROR('Option inputs'!$F21*(IF(Scenario_Select="Scenario 1",'CBA Inputs'!P$197-'CBA Inputs'!P204,0)+IF(Scenario_Select="Scenario 2",'CBA Inputs'!P$212-'CBA Inputs'!P219,0)+IF(Scenario_Select="Scenario 3",'CBA Inputs'!P$227-'CBA Inputs'!P234,0)+IF(Scenario_Select="Scenario 4",'CBA Inputs'!P$242-'CBA Inputs'!P249,0)),0)*Q$55</f>
        <v>-17734835</v>
      </c>
      <c r="R197" s="17">
        <f>IFERROR('Option inputs'!$F21*(IF(Scenario_Select="Scenario 1",'CBA Inputs'!Q$197-'CBA Inputs'!Q204,0)+IF(Scenario_Select="Scenario 2",'CBA Inputs'!Q$212-'CBA Inputs'!Q219,0)+IF(Scenario_Select="Scenario 3",'CBA Inputs'!Q$227-'CBA Inputs'!Q234,0)+IF(Scenario_Select="Scenario 4",'CBA Inputs'!Q$242-'CBA Inputs'!Q249,0)),0)*R$55</f>
        <v>15357052</v>
      </c>
      <c r="S197" s="17">
        <f>IFERROR('Option inputs'!$F21*(IF(Scenario_Select="Scenario 1",'CBA Inputs'!R$197-'CBA Inputs'!R204,0)+IF(Scenario_Select="Scenario 2",'CBA Inputs'!R$212-'CBA Inputs'!R219,0)+IF(Scenario_Select="Scenario 3",'CBA Inputs'!R$227-'CBA Inputs'!R234,0)+IF(Scenario_Select="Scenario 4",'CBA Inputs'!R$242-'CBA Inputs'!R249,0)),0)*S$55</f>
        <v>44429177</v>
      </c>
      <c r="T197" s="17">
        <f>IFERROR('Option inputs'!$F21*(IF(Scenario_Select="Scenario 1",'CBA Inputs'!S$197-'CBA Inputs'!S204,0)+IF(Scenario_Select="Scenario 2",'CBA Inputs'!S$212-'CBA Inputs'!S219,0)+IF(Scenario_Select="Scenario 3",'CBA Inputs'!S$227-'CBA Inputs'!S234,0)+IF(Scenario_Select="Scenario 4",'CBA Inputs'!S$242-'CBA Inputs'!S249,0)),0)*T$55</f>
        <v>54387429</v>
      </c>
      <c r="U197" s="17">
        <f>IFERROR('Option inputs'!$F21*(IF(Scenario_Select="Scenario 1",'CBA Inputs'!T$197-'CBA Inputs'!T204,0)+IF(Scenario_Select="Scenario 2",'CBA Inputs'!T$212-'CBA Inputs'!T219,0)+IF(Scenario_Select="Scenario 3",'CBA Inputs'!T$227-'CBA Inputs'!T234,0)+IF(Scenario_Select="Scenario 4",'CBA Inputs'!T$242-'CBA Inputs'!T249,0)),0)*U$55</f>
        <v>52019111</v>
      </c>
      <c r="V197" s="17">
        <f>IFERROR('Option inputs'!$F21*(IF(Scenario_Select="Scenario 1",'CBA Inputs'!U$197-'CBA Inputs'!U204,0)+IF(Scenario_Select="Scenario 2",'CBA Inputs'!U$212-'CBA Inputs'!U219,0)+IF(Scenario_Select="Scenario 3",'CBA Inputs'!U$227-'CBA Inputs'!U234,0)+IF(Scenario_Select="Scenario 4",'CBA Inputs'!U$242-'CBA Inputs'!U249,0)),0)*V$55</f>
        <v>59807551</v>
      </c>
      <c r="W197" s="17">
        <f>IFERROR('Option inputs'!$F21*(IF(Scenario_Select="Scenario 1",'CBA Inputs'!V$197-'CBA Inputs'!V204,0)+IF(Scenario_Select="Scenario 2",'CBA Inputs'!V$212-'CBA Inputs'!V219,0)+IF(Scenario_Select="Scenario 3",'CBA Inputs'!V$227-'CBA Inputs'!V234,0)+IF(Scenario_Select="Scenario 4",'CBA Inputs'!V$242-'CBA Inputs'!V249,0)),0)*W$55</f>
        <v>133573975</v>
      </c>
      <c r="X197" s="17">
        <f>IFERROR('Option inputs'!$F21*(IF(Scenario_Select="Scenario 1",'CBA Inputs'!W$197-'CBA Inputs'!W204,0)+IF(Scenario_Select="Scenario 2",'CBA Inputs'!W$212-'CBA Inputs'!W219,0)+IF(Scenario_Select="Scenario 3",'CBA Inputs'!W$227-'CBA Inputs'!W234,0)+IF(Scenario_Select="Scenario 4",'CBA Inputs'!W$242-'CBA Inputs'!W249,0)),0)*X$55</f>
        <v>131656433</v>
      </c>
      <c r="Y197" s="17">
        <f>IFERROR('Option inputs'!$F21*(IF(Scenario_Select="Scenario 1",'CBA Inputs'!X$197-'CBA Inputs'!X204,0)+IF(Scenario_Select="Scenario 2",'CBA Inputs'!X$212-'CBA Inputs'!X219,0)+IF(Scenario_Select="Scenario 3",'CBA Inputs'!X$227-'CBA Inputs'!X234,0)+IF(Scenario_Select="Scenario 4",'CBA Inputs'!X$242-'CBA Inputs'!X249,0)),0)*Y$55</f>
        <v>421797628</v>
      </c>
      <c r="Z197" s="17">
        <f>IFERROR('Option inputs'!$F21*(IF(Scenario_Select="Scenario 1",'CBA Inputs'!Y$197-'CBA Inputs'!Y204,0)+IF(Scenario_Select="Scenario 2",'CBA Inputs'!Y$212-'CBA Inputs'!Y219,0)+IF(Scenario_Select="Scenario 3",'CBA Inputs'!Y$227-'CBA Inputs'!Y234,0)+IF(Scenario_Select="Scenario 4",'CBA Inputs'!Y$242-'CBA Inputs'!Y249,0)),0)*Z$55</f>
        <v>385434634</v>
      </c>
      <c r="AA197" s="17">
        <f>IFERROR('Option inputs'!$F21*(IF(Scenario_Select="Scenario 1",'CBA Inputs'!Z$197-'CBA Inputs'!Z204,0)+IF(Scenario_Select="Scenario 2",'CBA Inputs'!Z$212-'CBA Inputs'!Z219,0)+IF(Scenario_Select="Scenario 3",'CBA Inputs'!Z$227-'CBA Inputs'!Z234,0)+IF(Scenario_Select="Scenario 4",'CBA Inputs'!Z$242-'CBA Inputs'!Z249,0)),0)*AA$55</f>
        <v>375731839</v>
      </c>
      <c r="AB197" s="17">
        <f>IFERROR('Option inputs'!$F21*(IF(Scenario_Select="Scenario 1",'CBA Inputs'!AA$197-'CBA Inputs'!AA204,0)+IF(Scenario_Select="Scenario 2",'CBA Inputs'!AA$212-'CBA Inputs'!AA219,0)+IF(Scenario_Select="Scenario 3",'CBA Inputs'!AA$227-'CBA Inputs'!AA234,0)+IF(Scenario_Select="Scenario 4",'CBA Inputs'!AA$242-'CBA Inputs'!AA249,0)),0)*AB$55</f>
        <v>368316076</v>
      </c>
      <c r="AC197" s="17">
        <f>IFERROR('Option inputs'!$F21*(IF(Scenario_Select="Scenario 1",'CBA Inputs'!AB$197-'CBA Inputs'!AB204,0)+IF(Scenario_Select="Scenario 2",'CBA Inputs'!AB$212-'CBA Inputs'!AB219,0)+IF(Scenario_Select="Scenario 3",'CBA Inputs'!AB$227-'CBA Inputs'!AB234,0)+IF(Scenario_Select="Scenario 4",'CBA Inputs'!AB$242-'CBA Inputs'!AB249,0)),0)*AC$55</f>
        <v>362457087</v>
      </c>
      <c r="AD197" s="17">
        <f>IFERROR('Option inputs'!$F21*(IF(Scenario_Select="Scenario 1",'CBA Inputs'!AC$197-'CBA Inputs'!AC204,0)+IF(Scenario_Select="Scenario 2",'CBA Inputs'!AC$212-'CBA Inputs'!AC219,0)+IF(Scenario_Select="Scenario 3",'CBA Inputs'!AC$227-'CBA Inputs'!AC234,0)+IF(Scenario_Select="Scenario 4",'CBA Inputs'!AC$242-'CBA Inputs'!AC249,0)),0)*AD$55</f>
        <v>425976182</v>
      </c>
      <c r="AE197" s="17">
        <f>IFERROR('Option inputs'!$F21*(IF(Scenario_Select="Scenario 1",'CBA Inputs'!AD$197-'CBA Inputs'!AD204,0)+IF(Scenario_Select="Scenario 2",'CBA Inputs'!AD$212-'CBA Inputs'!AD219,0)+IF(Scenario_Select="Scenario 3",'CBA Inputs'!AD$227-'CBA Inputs'!AD234,0)+IF(Scenario_Select="Scenario 4",'CBA Inputs'!AD$242-'CBA Inputs'!AD249,0)),0)*AE$55</f>
        <v>368857983</v>
      </c>
      <c r="AF197" s="17">
        <f>IFERROR('Option inputs'!$F21*(IF(Scenario_Select="Scenario 1",'CBA Inputs'!AE$197-'CBA Inputs'!AE204,0)+IF(Scenario_Select="Scenario 2",'CBA Inputs'!AE$212-'CBA Inputs'!AE219,0)+IF(Scenario_Select="Scenario 3",'CBA Inputs'!AE$227-'CBA Inputs'!AE234,0)+IF(Scenario_Select="Scenario 4",'CBA Inputs'!AE$242-'CBA Inputs'!AE249,0)),0)*AF$55</f>
        <v>415430774</v>
      </c>
      <c r="AG197" s="17">
        <f>IFERROR('Option inputs'!$F21*(IF(Scenario_Select="Scenario 1",'CBA Inputs'!AF$197-'CBA Inputs'!AF204,0)+IF(Scenario_Select="Scenario 2",'CBA Inputs'!AF$212-'CBA Inputs'!AF219,0)+IF(Scenario_Select="Scenario 3",'CBA Inputs'!AF$227-'CBA Inputs'!AF234,0)+IF(Scenario_Select="Scenario 4",'CBA Inputs'!AF$242-'CBA Inputs'!AF249,0)),0)*AG$55</f>
        <v>0</v>
      </c>
      <c r="AH197" s="17">
        <f>IFERROR('Option inputs'!$F21*(IF(Scenario_Select="Scenario 1",'CBA Inputs'!AG$197-'CBA Inputs'!AG204,0)+IF(Scenario_Select="Scenario 2",'CBA Inputs'!AG$212-'CBA Inputs'!AG219,0)+IF(Scenario_Select="Scenario 3",'CBA Inputs'!AG$227-'CBA Inputs'!AG234,0)+IF(Scenario_Select="Scenario 4",'CBA Inputs'!AG$242-'CBA Inputs'!AG249,0)),0)*AH$55</f>
        <v>0</v>
      </c>
      <c r="AI197" s="17">
        <f>IFERROR('Option inputs'!$F21*(IF(Scenario_Select="Scenario 1",'CBA Inputs'!AH$197-'CBA Inputs'!AH204,0)+IF(Scenario_Select="Scenario 2",'CBA Inputs'!AH$212-'CBA Inputs'!AH219,0)+IF(Scenario_Select="Scenario 3",'CBA Inputs'!AH$227-'CBA Inputs'!AH234,0)+IF(Scenario_Select="Scenario 4",'CBA Inputs'!AH$242-'CBA Inputs'!AH249,0)),0)*AI$55</f>
        <v>0</v>
      </c>
      <c r="AJ197" s="17">
        <f>IFERROR('Option inputs'!$F21*(IF(Scenario_Select="Scenario 1",'CBA Inputs'!AI$197-'CBA Inputs'!AI204,0)+IF(Scenario_Select="Scenario 2",'CBA Inputs'!AI$212-'CBA Inputs'!AI219,0)+IF(Scenario_Select="Scenario 3",'CBA Inputs'!AI$227-'CBA Inputs'!AI234,0)+IF(Scenario_Select="Scenario 4",'CBA Inputs'!AI$242-'CBA Inputs'!AI249,0)),0)*AJ$55</f>
        <v>0</v>
      </c>
    </row>
    <row r="198" spans="2:36" x14ac:dyDescent="0.35">
      <c r="B198" s="9">
        <f>'Option inputs'!B22</f>
        <v>8</v>
      </c>
      <c r="C198" s="14" t="str">
        <f>'Option inputs'!C22</f>
        <v>Option 3B</v>
      </c>
      <c r="D198" s="26"/>
      <c r="E198" s="12" t="s">
        <v>35</v>
      </c>
      <c r="F198" s="18">
        <f t="shared" si="47"/>
        <v>1387885807.0945179</v>
      </c>
      <c r="G198" s="17">
        <f>IFERROR('Option inputs'!$F22*(IF(Scenario_Select="Scenario 1",'CBA Inputs'!F$197-'CBA Inputs'!F205,0)+IF(Scenario_Select="Scenario 2",'CBA Inputs'!F$212-'CBA Inputs'!F220,0)+IF(Scenario_Select="Scenario 3",'CBA Inputs'!F$227-'CBA Inputs'!F235,0)+IF(Scenario_Select="Scenario 4",'CBA Inputs'!F$242-'CBA Inputs'!F250,0)),0)*G$55</f>
        <v>0</v>
      </c>
      <c r="H198" s="17">
        <f>IFERROR('Option inputs'!$F22*(IF(Scenario_Select="Scenario 1",'CBA Inputs'!G$197-'CBA Inputs'!G205,0)+IF(Scenario_Select="Scenario 2",'CBA Inputs'!G$212-'CBA Inputs'!G220,0)+IF(Scenario_Select="Scenario 3",'CBA Inputs'!G$227-'CBA Inputs'!G235,0)+IF(Scenario_Select="Scenario 4",'CBA Inputs'!G$242-'CBA Inputs'!G250,0)),0)*H$55</f>
        <v>3077</v>
      </c>
      <c r="I198" s="17">
        <f>IFERROR('Option inputs'!$F22*(IF(Scenario_Select="Scenario 1",'CBA Inputs'!H$197-'CBA Inputs'!H205,0)+IF(Scenario_Select="Scenario 2",'CBA Inputs'!H$212-'CBA Inputs'!H220,0)+IF(Scenario_Select="Scenario 3",'CBA Inputs'!H$227-'CBA Inputs'!H235,0)+IF(Scenario_Select="Scenario 4",'CBA Inputs'!H$242-'CBA Inputs'!H250,0)),0)*I$55</f>
        <v>3122</v>
      </c>
      <c r="J198" s="17">
        <f>IFERROR('Option inputs'!$F22*(IF(Scenario_Select="Scenario 1",'CBA Inputs'!I$197-'CBA Inputs'!I205,0)+IF(Scenario_Select="Scenario 2",'CBA Inputs'!I$212-'CBA Inputs'!I220,0)+IF(Scenario_Select="Scenario 3",'CBA Inputs'!I$227-'CBA Inputs'!I235,0)+IF(Scenario_Select="Scenario 4",'CBA Inputs'!I$242-'CBA Inputs'!I250,0)),0)*J$55</f>
        <v>3574</v>
      </c>
      <c r="K198" s="17">
        <f>IFERROR('Option inputs'!$F22*(IF(Scenario_Select="Scenario 1",'CBA Inputs'!J$197-'CBA Inputs'!J205,0)+IF(Scenario_Select="Scenario 2",'CBA Inputs'!J$212-'CBA Inputs'!J220,0)+IF(Scenario_Select="Scenario 3",'CBA Inputs'!J$227-'CBA Inputs'!J235,0)+IF(Scenario_Select="Scenario 4",'CBA Inputs'!J$242-'CBA Inputs'!J250,0)),0)*K$55</f>
        <v>-25395070</v>
      </c>
      <c r="L198" s="17">
        <f>IFERROR('Option inputs'!$F22*(IF(Scenario_Select="Scenario 1",'CBA Inputs'!K$197-'CBA Inputs'!K205,0)+IF(Scenario_Select="Scenario 2",'CBA Inputs'!K$212-'CBA Inputs'!K220,0)+IF(Scenario_Select="Scenario 3",'CBA Inputs'!K$227-'CBA Inputs'!K235,0)+IF(Scenario_Select="Scenario 4",'CBA Inputs'!K$242-'CBA Inputs'!K250,0)),0)*L$55</f>
        <v>-18214712</v>
      </c>
      <c r="M198" s="17">
        <f>IFERROR('Option inputs'!$F22*(IF(Scenario_Select="Scenario 1",'CBA Inputs'!L$197-'CBA Inputs'!L205,0)+IF(Scenario_Select="Scenario 2",'CBA Inputs'!L$212-'CBA Inputs'!L220,0)+IF(Scenario_Select="Scenario 3",'CBA Inputs'!L$227-'CBA Inputs'!L235,0)+IF(Scenario_Select="Scenario 4",'CBA Inputs'!L$242-'CBA Inputs'!L250,0)),0)*M$55</f>
        <v>-17692276</v>
      </c>
      <c r="N198" s="17">
        <f>IFERROR('Option inputs'!$F22*(IF(Scenario_Select="Scenario 1",'CBA Inputs'!M$197-'CBA Inputs'!M205,0)+IF(Scenario_Select="Scenario 2",'CBA Inputs'!M$212-'CBA Inputs'!M220,0)+IF(Scenario_Select="Scenario 3",'CBA Inputs'!M$227-'CBA Inputs'!M235,0)+IF(Scenario_Select="Scenario 4",'CBA Inputs'!M$242-'CBA Inputs'!M250,0)),0)*N$55</f>
        <v>-5393058</v>
      </c>
      <c r="O198" s="17">
        <f>IFERROR('Option inputs'!$F22*(IF(Scenario_Select="Scenario 1",'CBA Inputs'!N$197-'CBA Inputs'!N205,0)+IF(Scenario_Select="Scenario 2",'CBA Inputs'!N$212-'CBA Inputs'!N220,0)+IF(Scenario_Select="Scenario 3",'CBA Inputs'!N$227-'CBA Inputs'!N235,0)+IF(Scenario_Select="Scenario 4",'CBA Inputs'!N$242-'CBA Inputs'!N250,0)),0)*O$55</f>
        <v>-5418389</v>
      </c>
      <c r="P198" s="17">
        <f>IFERROR('Option inputs'!$F22*(IF(Scenario_Select="Scenario 1",'CBA Inputs'!O$197-'CBA Inputs'!O205,0)+IF(Scenario_Select="Scenario 2",'CBA Inputs'!O$212-'CBA Inputs'!O220,0)+IF(Scenario_Select="Scenario 3",'CBA Inputs'!O$227-'CBA Inputs'!O235,0)+IF(Scenario_Select="Scenario 4",'CBA Inputs'!O$242-'CBA Inputs'!O250,0)),0)*P$55</f>
        <v>-10363203</v>
      </c>
      <c r="Q198" s="17">
        <f>IFERROR('Option inputs'!$F22*(IF(Scenario_Select="Scenario 1",'CBA Inputs'!P$197-'CBA Inputs'!P205,0)+IF(Scenario_Select="Scenario 2",'CBA Inputs'!P$212-'CBA Inputs'!P220,0)+IF(Scenario_Select="Scenario 3",'CBA Inputs'!P$227-'CBA Inputs'!P235,0)+IF(Scenario_Select="Scenario 4",'CBA Inputs'!P$242-'CBA Inputs'!P250,0)),0)*Q$55</f>
        <v>-62103843</v>
      </c>
      <c r="R198" s="17">
        <f>IFERROR('Option inputs'!$F22*(IF(Scenario_Select="Scenario 1",'CBA Inputs'!Q$197-'CBA Inputs'!Q205,0)+IF(Scenario_Select="Scenario 2",'CBA Inputs'!Q$212-'CBA Inputs'!Q220,0)+IF(Scenario_Select="Scenario 3",'CBA Inputs'!Q$227-'CBA Inputs'!Q235,0)+IF(Scenario_Select="Scenario 4",'CBA Inputs'!Q$242-'CBA Inputs'!Q250,0)),0)*R$55</f>
        <v>-777740</v>
      </c>
      <c r="S198" s="17">
        <f>IFERROR('Option inputs'!$F22*(IF(Scenario_Select="Scenario 1",'CBA Inputs'!R$197-'CBA Inputs'!R205,0)+IF(Scenario_Select="Scenario 2",'CBA Inputs'!R$212-'CBA Inputs'!R220,0)+IF(Scenario_Select="Scenario 3",'CBA Inputs'!R$227-'CBA Inputs'!R235,0)+IF(Scenario_Select="Scenario 4",'CBA Inputs'!R$242-'CBA Inputs'!R250,0)),0)*S$55</f>
        <v>1001548</v>
      </c>
      <c r="T198" s="17">
        <f>IFERROR('Option inputs'!$F22*(IF(Scenario_Select="Scenario 1",'CBA Inputs'!S$197-'CBA Inputs'!S205,0)+IF(Scenario_Select="Scenario 2",'CBA Inputs'!S$212-'CBA Inputs'!S220,0)+IF(Scenario_Select="Scenario 3",'CBA Inputs'!S$227-'CBA Inputs'!S235,0)+IF(Scenario_Select="Scenario 4",'CBA Inputs'!S$242-'CBA Inputs'!S250,0)),0)*T$55</f>
        <v>24523576</v>
      </c>
      <c r="U198" s="17">
        <f>IFERROR('Option inputs'!$F22*(IF(Scenario_Select="Scenario 1",'CBA Inputs'!T$197-'CBA Inputs'!T205,0)+IF(Scenario_Select="Scenario 2",'CBA Inputs'!T$212-'CBA Inputs'!T220,0)+IF(Scenario_Select="Scenario 3",'CBA Inputs'!T$227-'CBA Inputs'!T235,0)+IF(Scenario_Select="Scenario 4",'CBA Inputs'!T$242-'CBA Inputs'!T250,0)),0)*U$55</f>
        <v>38849536</v>
      </c>
      <c r="V198" s="17">
        <f>IFERROR('Option inputs'!$F22*(IF(Scenario_Select="Scenario 1",'CBA Inputs'!U$197-'CBA Inputs'!U205,0)+IF(Scenario_Select="Scenario 2",'CBA Inputs'!U$212-'CBA Inputs'!U220,0)+IF(Scenario_Select="Scenario 3",'CBA Inputs'!U$227-'CBA Inputs'!U235,0)+IF(Scenario_Select="Scenario 4",'CBA Inputs'!U$242-'CBA Inputs'!U250,0)),0)*V$55</f>
        <v>38668620</v>
      </c>
      <c r="W198" s="17">
        <f>IFERROR('Option inputs'!$F22*(IF(Scenario_Select="Scenario 1",'CBA Inputs'!V$197-'CBA Inputs'!V205,0)+IF(Scenario_Select="Scenario 2",'CBA Inputs'!V$212-'CBA Inputs'!V220,0)+IF(Scenario_Select="Scenario 3",'CBA Inputs'!V$227-'CBA Inputs'!V235,0)+IF(Scenario_Select="Scenario 4",'CBA Inputs'!V$242-'CBA Inputs'!V250,0)),0)*W$55</f>
        <v>158055764</v>
      </c>
      <c r="X198" s="17">
        <f>IFERROR('Option inputs'!$F22*(IF(Scenario_Select="Scenario 1",'CBA Inputs'!W$197-'CBA Inputs'!W205,0)+IF(Scenario_Select="Scenario 2",'CBA Inputs'!W$212-'CBA Inputs'!W220,0)+IF(Scenario_Select="Scenario 3",'CBA Inputs'!W$227-'CBA Inputs'!W235,0)+IF(Scenario_Select="Scenario 4",'CBA Inputs'!W$242-'CBA Inputs'!W250,0)),0)*X$55</f>
        <v>168147997</v>
      </c>
      <c r="Y198" s="17">
        <f>IFERROR('Option inputs'!$F22*(IF(Scenario_Select="Scenario 1",'CBA Inputs'!X$197-'CBA Inputs'!X205,0)+IF(Scenario_Select="Scenario 2",'CBA Inputs'!X$212-'CBA Inputs'!X220,0)+IF(Scenario_Select="Scenario 3",'CBA Inputs'!X$227-'CBA Inputs'!X235,0)+IF(Scenario_Select="Scenario 4",'CBA Inputs'!X$242-'CBA Inputs'!X250,0)),0)*Y$55</f>
        <v>580384040</v>
      </c>
      <c r="Z198" s="17">
        <f>IFERROR('Option inputs'!$F22*(IF(Scenario_Select="Scenario 1",'CBA Inputs'!Y$197-'CBA Inputs'!Y205,0)+IF(Scenario_Select="Scenario 2",'CBA Inputs'!Y$212-'CBA Inputs'!Y220,0)+IF(Scenario_Select="Scenario 3",'CBA Inputs'!Y$227-'CBA Inputs'!Y235,0)+IF(Scenario_Select="Scenario 4",'CBA Inputs'!Y$242-'CBA Inputs'!Y250,0)),0)*Z$55</f>
        <v>544234166</v>
      </c>
      <c r="AA198" s="17">
        <f>IFERROR('Option inputs'!$F22*(IF(Scenario_Select="Scenario 1",'CBA Inputs'!Z$197-'CBA Inputs'!Z205,0)+IF(Scenario_Select="Scenario 2",'CBA Inputs'!Z$212-'CBA Inputs'!Z220,0)+IF(Scenario_Select="Scenario 3",'CBA Inputs'!Z$227-'CBA Inputs'!Z235,0)+IF(Scenario_Select="Scenario 4",'CBA Inputs'!Z$242-'CBA Inputs'!Z250,0)),0)*AA$55</f>
        <v>547596537</v>
      </c>
      <c r="AB198" s="17">
        <f>IFERROR('Option inputs'!$F22*(IF(Scenario_Select="Scenario 1",'CBA Inputs'!AA$197-'CBA Inputs'!AA205,0)+IF(Scenario_Select="Scenario 2",'CBA Inputs'!AA$212-'CBA Inputs'!AA220,0)+IF(Scenario_Select="Scenario 3",'CBA Inputs'!AA$227-'CBA Inputs'!AA235,0)+IF(Scenario_Select="Scenario 4",'CBA Inputs'!AA$242-'CBA Inputs'!AA250,0)),0)*AB$55</f>
        <v>531334257</v>
      </c>
      <c r="AC198" s="17">
        <f>IFERROR('Option inputs'!$F22*(IF(Scenario_Select="Scenario 1",'CBA Inputs'!AB$197-'CBA Inputs'!AB205,0)+IF(Scenario_Select="Scenario 2",'CBA Inputs'!AB$212-'CBA Inputs'!AB220,0)+IF(Scenario_Select="Scenario 3",'CBA Inputs'!AB$227-'CBA Inputs'!AB235,0)+IF(Scenario_Select="Scenario 4",'CBA Inputs'!AB$242-'CBA Inputs'!AB250,0)),0)*AC$55</f>
        <v>526563245</v>
      </c>
      <c r="AD198" s="17">
        <f>IFERROR('Option inputs'!$F22*(IF(Scenario_Select="Scenario 1",'CBA Inputs'!AC$197-'CBA Inputs'!AC205,0)+IF(Scenario_Select="Scenario 2",'CBA Inputs'!AC$212-'CBA Inputs'!AC220,0)+IF(Scenario_Select="Scenario 3",'CBA Inputs'!AC$227-'CBA Inputs'!AC235,0)+IF(Scenario_Select="Scenario 4",'CBA Inputs'!AC$242-'CBA Inputs'!AC250,0)),0)*AD$55</f>
        <v>598851541</v>
      </c>
      <c r="AE198" s="17">
        <f>IFERROR('Option inputs'!$F22*(IF(Scenario_Select="Scenario 1",'CBA Inputs'!AD$197-'CBA Inputs'!AD205,0)+IF(Scenario_Select="Scenario 2",'CBA Inputs'!AD$212-'CBA Inputs'!AD220,0)+IF(Scenario_Select="Scenario 3",'CBA Inputs'!AD$227-'CBA Inputs'!AD235,0)+IF(Scenario_Select="Scenario 4",'CBA Inputs'!AD$242-'CBA Inputs'!AD250,0)),0)*AE$55</f>
        <v>538660006</v>
      </c>
      <c r="AF198" s="17">
        <f>IFERROR('Option inputs'!$F22*(IF(Scenario_Select="Scenario 1",'CBA Inputs'!AE$197-'CBA Inputs'!AE205,0)+IF(Scenario_Select="Scenario 2",'CBA Inputs'!AE$212-'CBA Inputs'!AE220,0)+IF(Scenario_Select="Scenario 3",'CBA Inputs'!AE$227-'CBA Inputs'!AE235,0)+IF(Scenario_Select="Scenario 4",'CBA Inputs'!AE$242-'CBA Inputs'!AE250,0)),0)*AF$55</f>
        <v>593256415</v>
      </c>
      <c r="AG198" s="17">
        <f>IFERROR('Option inputs'!$F22*(IF(Scenario_Select="Scenario 1",'CBA Inputs'!AF$197-'CBA Inputs'!AF205,0)+IF(Scenario_Select="Scenario 2",'CBA Inputs'!AF$212-'CBA Inputs'!AF220,0)+IF(Scenario_Select="Scenario 3",'CBA Inputs'!AF$227-'CBA Inputs'!AF235,0)+IF(Scenario_Select="Scenario 4",'CBA Inputs'!AF$242-'CBA Inputs'!AF250,0)),0)*AG$55</f>
        <v>0</v>
      </c>
      <c r="AH198" s="17">
        <f>IFERROR('Option inputs'!$F22*(IF(Scenario_Select="Scenario 1",'CBA Inputs'!AG$197-'CBA Inputs'!AG205,0)+IF(Scenario_Select="Scenario 2",'CBA Inputs'!AG$212-'CBA Inputs'!AG220,0)+IF(Scenario_Select="Scenario 3",'CBA Inputs'!AG$227-'CBA Inputs'!AG235,0)+IF(Scenario_Select="Scenario 4",'CBA Inputs'!AG$242-'CBA Inputs'!AG250,0)),0)*AH$55</f>
        <v>0</v>
      </c>
      <c r="AI198" s="17">
        <f>IFERROR('Option inputs'!$F22*(IF(Scenario_Select="Scenario 1",'CBA Inputs'!AH$197-'CBA Inputs'!AH205,0)+IF(Scenario_Select="Scenario 2",'CBA Inputs'!AH$212-'CBA Inputs'!AH220,0)+IF(Scenario_Select="Scenario 3",'CBA Inputs'!AH$227-'CBA Inputs'!AH235,0)+IF(Scenario_Select="Scenario 4",'CBA Inputs'!AH$242-'CBA Inputs'!AH250,0)),0)*AI$55</f>
        <v>0</v>
      </c>
      <c r="AJ198" s="17">
        <f>IFERROR('Option inputs'!$F22*(IF(Scenario_Select="Scenario 1",'CBA Inputs'!AI$197-'CBA Inputs'!AI205,0)+IF(Scenario_Select="Scenario 2",'CBA Inputs'!AI$212-'CBA Inputs'!AI220,0)+IF(Scenario_Select="Scenario 3",'CBA Inputs'!AI$227-'CBA Inputs'!AI235,0)+IF(Scenario_Select="Scenario 4",'CBA Inputs'!AI$242-'CBA Inputs'!AI250,0)),0)*AJ$55</f>
        <v>0</v>
      </c>
    </row>
    <row r="199" spans="2:36" x14ac:dyDescent="0.35">
      <c r="B199" s="9">
        <f>'Option inputs'!B23</f>
        <v>9</v>
      </c>
      <c r="C199" s="14" t="str">
        <f>'Option inputs'!C23</f>
        <v>Option 3C</v>
      </c>
      <c r="D199" s="26"/>
      <c r="E199" s="12" t="s">
        <v>35</v>
      </c>
      <c r="F199" s="18">
        <f t="shared" si="47"/>
        <v>1312735856.9470167</v>
      </c>
      <c r="G199" s="17">
        <f>IFERROR('Option inputs'!$F23*(IF(Scenario_Select="Scenario 1",'CBA Inputs'!F$197-'CBA Inputs'!F206,0)+IF(Scenario_Select="Scenario 2",'CBA Inputs'!F$212-'CBA Inputs'!F221,0)+IF(Scenario_Select="Scenario 3",'CBA Inputs'!F$227-'CBA Inputs'!F236,0)+IF(Scenario_Select="Scenario 4",'CBA Inputs'!F$242-'CBA Inputs'!F251,0)),0)*G$55</f>
        <v>0</v>
      </c>
      <c r="H199" s="17">
        <f>IFERROR('Option inputs'!$F23*(IF(Scenario_Select="Scenario 1",'CBA Inputs'!G$197-'CBA Inputs'!G206,0)+IF(Scenario_Select="Scenario 2",'CBA Inputs'!G$212-'CBA Inputs'!G221,0)+IF(Scenario_Select="Scenario 3",'CBA Inputs'!G$227-'CBA Inputs'!G236,0)+IF(Scenario_Select="Scenario 4",'CBA Inputs'!G$242-'CBA Inputs'!G251,0)),0)*H$55</f>
        <v>-621</v>
      </c>
      <c r="I199" s="17">
        <f>IFERROR('Option inputs'!$F23*(IF(Scenario_Select="Scenario 1",'CBA Inputs'!H$197-'CBA Inputs'!H206,0)+IF(Scenario_Select="Scenario 2",'CBA Inputs'!H$212-'CBA Inputs'!H221,0)+IF(Scenario_Select="Scenario 3",'CBA Inputs'!H$227-'CBA Inputs'!H236,0)+IF(Scenario_Select="Scenario 4",'CBA Inputs'!H$242-'CBA Inputs'!H251,0)),0)*I$55</f>
        <v>-580</v>
      </c>
      <c r="J199" s="17">
        <f>IFERROR('Option inputs'!$F23*(IF(Scenario_Select="Scenario 1",'CBA Inputs'!I$197-'CBA Inputs'!I206,0)+IF(Scenario_Select="Scenario 2",'CBA Inputs'!I$212-'CBA Inputs'!I221,0)+IF(Scenario_Select="Scenario 3",'CBA Inputs'!I$227-'CBA Inputs'!I236,0)+IF(Scenario_Select="Scenario 4",'CBA Inputs'!I$242-'CBA Inputs'!I251,0)),0)*J$55</f>
        <v>-1174</v>
      </c>
      <c r="K199" s="17">
        <f>IFERROR('Option inputs'!$F23*(IF(Scenario_Select="Scenario 1",'CBA Inputs'!J$197-'CBA Inputs'!J206,0)+IF(Scenario_Select="Scenario 2",'CBA Inputs'!J$212-'CBA Inputs'!J221,0)+IF(Scenario_Select="Scenario 3",'CBA Inputs'!J$227-'CBA Inputs'!J236,0)+IF(Scenario_Select="Scenario 4",'CBA Inputs'!J$242-'CBA Inputs'!J251,0)),0)*K$55</f>
        <v>-45835259</v>
      </c>
      <c r="L199" s="17">
        <f>IFERROR('Option inputs'!$F23*(IF(Scenario_Select="Scenario 1",'CBA Inputs'!K$197-'CBA Inputs'!K206,0)+IF(Scenario_Select="Scenario 2",'CBA Inputs'!K$212-'CBA Inputs'!K221,0)+IF(Scenario_Select="Scenario 3",'CBA Inputs'!K$227-'CBA Inputs'!K236,0)+IF(Scenario_Select="Scenario 4",'CBA Inputs'!K$242-'CBA Inputs'!K251,0)),0)*L$55</f>
        <v>-36826436</v>
      </c>
      <c r="M199" s="17">
        <f>IFERROR('Option inputs'!$F23*(IF(Scenario_Select="Scenario 1",'CBA Inputs'!L$197-'CBA Inputs'!L206,0)+IF(Scenario_Select="Scenario 2",'CBA Inputs'!L$212-'CBA Inputs'!L221,0)+IF(Scenario_Select="Scenario 3",'CBA Inputs'!L$227-'CBA Inputs'!L236,0)+IF(Scenario_Select="Scenario 4",'CBA Inputs'!L$242-'CBA Inputs'!L251,0)),0)*M$55</f>
        <v>-35197604</v>
      </c>
      <c r="N199" s="17">
        <f>IFERROR('Option inputs'!$F23*(IF(Scenario_Select="Scenario 1",'CBA Inputs'!M$197-'CBA Inputs'!M206,0)+IF(Scenario_Select="Scenario 2",'CBA Inputs'!M$212-'CBA Inputs'!M221,0)+IF(Scenario_Select="Scenario 3",'CBA Inputs'!M$227-'CBA Inputs'!M236,0)+IF(Scenario_Select="Scenario 4",'CBA Inputs'!M$242-'CBA Inputs'!M251,0)),0)*N$55</f>
        <v>-22725794</v>
      </c>
      <c r="O199" s="17">
        <f>IFERROR('Option inputs'!$F23*(IF(Scenario_Select="Scenario 1",'CBA Inputs'!N$197-'CBA Inputs'!N206,0)+IF(Scenario_Select="Scenario 2",'CBA Inputs'!N$212-'CBA Inputs'!N221,0)+IF(Scenario_Select="Scenario 3",'CBA Inputs'!N$227-'CBA Inputs'!N236,0)+IF(Scenario_Select="Scenario 4",'CBA Inputs'!N$242-'CBA Inputs'!N251,0)),0)*O$55</f>
        <v>-24718669</v>
      </c>
      <c r="P199" s="17">
        <f>IFERROR('Option inputs'!$F23*(IF(Scenario_Select="Scenario 1",'CBA Inputs'!O$197-'CBA Inputs'!O206,0)+IF(Scenario_Select="Scenario 2",'CBA Inputs'!O$212-'CBA Inputs'!O221,0)+IF(Scenario_Select="Scenario 3",'CBA Inputs'!O$227-'CBA Inputs'!O236,0)+IF(Scenario_Select="Scenario 4",'CBA Inputs'!O$242-'CBA Inputs'!O251,0)),0)*P$55</f>
        <v>-24690424</v>
      </c>
      <c r="Q199" s="17">
        <f>IFERROR('Option inputs'!$F23*(IF(Scenario_Select="Scenario 1",'CBA Inputs'!P$197-'CBA Inputs'!P206,0)+IF(Scenario_Select="Scenario 2",'CBA Inputs'!P$212-'CBA Inputs'!P221,0)+IF(Scenario_Select="Scenario 3",'CBA Inputs'!P$227-'CBA Inputs'!P236,0)+IF(Scenario_Select="Scenario 4",'CBA Inputs'!P$242-'CBA Inputs'!P251,0)),0)*Q$55</f>
        <v>-62227398</v>
      </c>
      <c r="R199" s="17">
        <f>IFERROR('Option inputs'!$F23*(IF(Scenario_Select="Scenario 1",'CBA Inputs'!Q$197-'CBA Inputs'!Q206,0)+IF(Scenario_Select="Scenario 2",'CBA Inputs'!Q$212-'CBA Inputs'!Q221,0)+IF(Scenario_Select="Scenario 3",'CBA Inputs'!Q$227-'CBA Inputs'!Q236,0)+IF(Scenario_Select="Scenario 4",'CBA Inputs'!Q$242-'CBA Inputs'!Q251,0)),0)*R$55</f>
        <v>-804950</v>
      </c>
      <c r="S199" s="17">
        <f>IFERROR('Option inputs'!$F23*(IF(Scenario_Select="Scenario 1",'CBA Inputs'!R$197-'CBA Inputs'!R206,0)+IF(Scenario_Select="Scenario 2",'CBA Inputs'!R$212-'CBA Inputs'!R221,0)+IF(Scenario_Select="Scenario 3",'CBA Inputs'!R$227-'CBA Inputs'!R236,0)+IF(Scenario_Select="Scenario 4",'CBA Inputs'!R$242-'CBA Inputs'!R251,0)),0)*S$55</f>
        <v>993012</v>
      </c>
      <c r="T199" s="17">
        <f>IFERROR('Option inputs'!$F23*(IF(Scenario_Select="Scenario 1",'CBA Inputs'!S$197-'CBA Inputs'!S206,0)+IF(Scenario_Select="Scenario 2",'CBA Inputs'!S$212-'CBA Inputs'!S221,0)+IF(Scenario_Select="Scenario 3",'CBA Inputs'!S$227-'CBA Inputs'!S236,0)+IF(Scenario_Select="Scenario 4",'CBA Inputs'!S$242-'CBA Inputs'!S251,0)),0)*T$55</f>
        <v>24496005</v>
      </c>
      <c r="U199" s="17">
        <f>IFERROR('Option inputs'!$F23*(IF(Scenario_Select="Scenario 1",'CBA Inputs'!T$197-'CBA Inputs'!T206,0)+IF(Scenario_Select="Scenario 2",'CBA Inputs'!T$212-'CBA Inputs'!T221,0)+IF(Scenario_Select="Scenario 3",'CBA Inputs'!T$227-'CBA Inputs'!T236,0)+IF(Scenario_Select="Scenario 4",'CBA Inputs'!T$242-'CBA Inputs'!T251,0)),0)*U$55</f>
        <v>38839535</v>
      </c>
      <c r="V199" s="17">
        <f>IFERROR('Option inputs'!$F23*(IF(Scenario_Select="Scenario 1",'CBA Inputs'!U$197-'CBA Inputs'!U206,0)+IF(Scenario_Select="Scenario 2",'CBA Inputs'!U$212-'CBA Inputs'!U221,0)+IF(Scenario_Select="Scenario 3",'CBA Inputs'!U$227-'CBA Inputs'!U236,0)+IF(Scenario_Select="Scenario 4",'CBA Inputs'!U$242-'CBA Inputs'!U251,0)),0)*V$55</f>
        <v>38647583</v>
      </c>
      <c r="W199" s="17">
        <f>IFERROR('Option inputs'!$F23*(IF(Scenario_Select="Scenario 1",'CBA Inputs'!V$197-'CBA Inputs'!V206,0)+IF(Scenario_Select="Scenario 2",'CBA Inputs'!V$212-'CBA Inputs'!V221,0)+IF(Scenario_Select="Scenario 3",'CBA Inputs'!V$227-'CBA Inputs'!V236,0)+IF(Scenario_Select="Scenario 4",'CBA Inputs'!V$242-'CBA Inputs'!V251,0)),0)*W$55</f>
        <v>158055860</v>
      </c>
      <c r="X199" s="17">
        <f>IFERROR('Option inputs'!$F23*(IF(Scenario_Select="Scenario 1",'CBA Inputs'!W$197-'CBA Inputs'!W206,0)+IF(Scenario_Select="Scenario 2",'CBA Inputs'!W$212-'CBA Inputs'!W221,0)+IF(Scenario_Select="Scenario 3",'CBA Inputs'!W$227-'CBA Inputs'!W236,0)+IF(Scenario_Select="Scenario 4",'CBA Inputs'!W$242-'CBA Inputs'!W251,0)),0)*X$55</f>
        <v>168144716</v>
      </c>
      <c r="Y199" s="17">
        <f>IFERROR('Option inputs'!$F23*(IF(Scenario_Select="Scenario 1",'CBA Inputs'!X$197-'CBA Inputs'!X206,0)+IF(Scenario_Select="Scenario 2",'CBA Inputs'!X$212-'CBA Inputs'!X221,0)+IF(Scenario_Select="Scenario 3",'CBA Inputs'!X$227-'CBA Inputs'!X236,0)+IF(Scenario_Select="Scenario 4",'CBA Inputs'!X$242-'CBA Inputs'!X251,0)),0)*Y$55</f>
        <v>580382346</v>
      </c>
      <c r="Z199" s="17">
        <f>IFERROR('Option inputs'!$F23*(IF(Scenario_Select="Scenario 1",'CBA Inputs'!Y$197-'CBA Inputs'!Y206,0)+IF(Scenario_Select="Scenario 2",'CBA Inputs'!Y$212-'CBA Inputs'!Y221,0)+IF(Scenario_Select="Scenario 3",'CBA Inputs'!Y$227-'CBA Inputs'!Y236,0)+IF(Scenario_Select="Scenario 4",'CBA Inputs'!Y$242-'CBA Inputs'!Y251,0)),0)*Z$55</f>
        <v>544211847</v>
      </c>
      <c r="AA199" s="17">
        <f>IFERROR('Option inputs'!$F23*(IF(Scenario_Select="Scenario 1",'CBA Inputs'!Z$197-'CBA Inputs'!Z206,0)+IF(Scenario_Select="Scenario 2",'CBA Inputs'!Z$212-'CBA Inputs'!Z221,0)+IF(Scenario_Select="Scenario 3",'CBA Inputs'!Z$227-'CBA Inputs'!Z236,0)+IF(Scenario_Select="Scenario 4",'CBA Inputs'!Z$242-'CBA Inputs'!Z251,0)),0)*AA$55</f>
        <v>547579327</v>
      </c>
      <c r="AB199" s="17">
        <f>IFERROR('Option inputs'!$F23*(IF(Scenario_Select="Scenario 1",'CBA Inputs'!AA$197-'CBA Inputs'!AA206,0)+IF(Scenario_Select="Scenario 2",'CBA Inputs'!AA$212-'CBA Inputs'!AA221,0)+IF(Scenario_Select="Scenario 3",'CBA Inputs'!AA$227-'CBA Inputs'!AA236,0)+IF(Scenario_Select="Scenario 4",'CBA Inputs'!AA$242-'CBA Inputs'!AA251,0)),0)*AB$55</f>
        <v>531319469</v>
      </c>
      <c r="AC199" s="17">
        <f>IFERROR('Option inputs'!$F23*(IF(Scenario_Select="Scenario 1",'CBA Inputs'!AB$197-'CBA Inputs'!AB206,0)+IF(Scenario_Select="Scenario 2",'CBA Inputs'!AB$212-'CBA Inputs'!AB221,0)+IF(Scenario_Select="Scenario 3",'CBA Inputs'!AB$227-'CBA Inputs'!AB236,0)+IF(Scenario_Select="Scenario 4",'CBA Inputs'!AB$242-'CBA Inputs'!AB251,0)),0)*AC$55</f>
        <v>526551892</v>
      </c>
      <c r="AD199" s="17">
        <f>IFERROR('Option inputs'!$F23*(IF(Scenario_Select="Scenario 1",'CBA Inputs'!AC$197-'CBA Inputs'!AC206,0)+IF(Scenario_Select="Scenario 2",'CBA Inputs'!AC$212-'CBA Inputs'!AC221,0)+IF(Scenario_Select="Scenario 3",'CBA Inputs'!AC$227-'CBA Inputs'!AC236,0)+IF(Scenario_Select="Scenario 4",'CBA Inputs'!AC$242-'CBA Inputs'!AC251,0)),0)*AD$55</f>
        <v>598832250</v>
      </c>
      <c r="AE199" s="17">
        <f>IFERROR('Option inputs'!$F23*(IF(Scenario_Select="Scenario 1",'CBA Inputs'!AD$197-'CBA Inputs'!AD206,0)+IF(Scenario_Select="Scenario 2",'CBA Inputs'!AD$212-'CBA Inputs'!AD221,0)+IF(Scenario_Select="Scenario 3",'CBA Inputs'!AD$227-'CBA Inputs'!AD236,0)+IF(Scenario_Select="Scenario 4",'CBA Inputs'!AD$242-'CBA Inputs'!AD251,0)),0)*AE$55</f>
        <v>538645874</v>
      </c>
      <c r="AF199" s="17">
        <f>IFERROR('Option inputs'!$F23*(IF(Scenario_Select="Scenario 1",'CBA Inputs'!AE$197-'CBA Inputs'!AE206,0)+IF(Scenario_Select="Scenario 2",'CBA Inputs'!AE$212-'CBA Inputs'!AE221,0)+IF(Scenario_Select="Scenario 3",'CBA Inputs'!AE$227-'CBA Inputs'!AE236,0)+IF(Scenario_Select="Scenario 4",'CBA Inputs'!AE$242-'CBA Inputs'!AE251,0)),0)*AF$55</f>
        <v>593257142</v>
      </c>
      <c r="AG199" s="17">
        <f>IFERROR('Option inputs'!$F23*(IF(Scenario_Select="Scenario 1",'CBA Inputs'!AF$197-'CBA Inputs'!AF206,0)+IF(Scenario_Select="Scenario 2",'CBA Inputs'!AF$212-'CBA Inputs'!AF221,0)+IF(Scenario_Select="Scenario 3",'CBA Inputs'!AF$227-'CBA Inputs'!AF236,0)+IF(Scenario_Select="Scenario 4",'CBA Inputs'!AF$242-'CBA Inputs'!AF251,0)),0)*AG$55</f>
        <v>0</v>
      </c>
      <c r="AH199" s="17">
        <f>IFERROR('Option inputs'!$F23*(IF(Scenario_Select="Scenario 1",'CBA Inputs'!AG$197-'CBA Inputs'!AG206,0)+IF(Scenario_Select="Scenario 2",'CBA Inputs'!AG$212-'CBA Inputs'!AG221,0)+IF(Scenario_Select="Scenario 3",'CBA Inputs'!AG$227-'CBA Inputs'!AG236,0)+IF(Scenario_Select="Scenario 4",'CBA Inputs'!AG$242-'CBA Inputs'!AG251,0)),0)*AH$55</f>
        <v>0</v>
      </c>
      <c r="AI199" s="17">
        <f>IFERROR('Option inputs'!$F23*(IF(Scenario_Select="Scenario 1",'CBA Inputs'!AH$197-'CBA Inputs'!AH206,0)+IF(Scenario_Select="Scenario 2",'CBA Inputs'!AH$212-'CBA Inputs'!AH221,0)+IF(Scenario_Select="Scenario 3",'CBA Inputs'!AH$227-'CBA Inputs'!AH236,0)+IF(Scenario_Select="Scenario 4",'CBA Inputs'!AH$242-'CBA Inputs'!AH251,0)),0)*AI$55</f>
        <v>0</v>
      </c>
      <c r="AJ199" s="17">
        <f>IFERROR('Option inputs'!$F23*(IF(Scenario_Select="Scenario 1",'CBA Inputs'!AI$197-'CBA Inputs'!AI206,0)+IF(Scenario_Select="Scenario 2",'CBA Inputs'!AI$212-'CBA Inputs'!AI221,0)+IF(Scenario_Select="Scenario 3",'CBA Inputs'!AI$227-'CBA Inputs'!AI236,0)+IF(Scenario_Select="Scenario 4",'CBA Inputs'!AI$242-'CBA Inputs'!AI251,0)),0)*AJ$55</f>
        <v>0</v>
      </c>
    </row>
    <row r="200" spans="2:36" x14ac:dyDescent="0.35">
      <c r="B200" s="9">
        <f>'Option inputs'!B24</f>
        <v>10</v>
      </c>
      <c r="C200" s="14" t="str">
        <f>'Option inputs'!C24</f>
        <v>Option 4A</v>
      </c>
      <c r="D200" s="26"/>
      <c r="E200" s="12" t="s">
        <v>35</v>
      </c>
      <c r="F200" s="18">
        <f t="shared" si="47"/>
        <v>1156435915.2245007</v>
      </c>
      <c r="G200" s="17">
        <f>IFERROR('Option inputs'!$F24*(IF(Scenario_Select="Scenario 1",'CBA Inputs'!F$197-'CBA Inputs'!F207,0)+IF(Scenario_Select="Scenario 2",'CBA Inputs'!F$212-'CBA Inputs'!F222,0)+IF(Scenario_Select="Scenario 3",'CBA Inputs'!F$227-'CBA Inputs'!F237,0)+IF(Scenario_Select="Scenario 4",'CBA Inputs'!F$242-'CBA Inputs'!F252,0)),0)*G$55</f>
        <v>0</v>
      </c>
      <c r="H200" s="17">
        <f>IFERROR('Option inputs'!$F24*(IF(Scenario_Select="Scenario 1",'CBA Inputs'!G$197-'CBA Inputs'!G207,0)+IF(Scenario_Select="Scenario 2",'CBA Inputs'!G$212-'CBA Inputs'!G222,0)+IF(Scenario_Select="Scenario 3",'CBA Inputs'!G$227-'CBA Inputs'!G237,0)+IF(Scenario_Select="Scenario 4",'CBA Inputs'!G$242-'CBA Inputs'!G252,0)),0)*H$55</f>
        <v>249</v>
      </c>
      <c r="I200" s="17">
        <f>IFERROR('Option inputs'!$F24*(IF(Scenario_Select="Scenario 1",'CBA Inputs'!H$197-'CBA Inputs'!H207,0)+IF(Scenario_Select="Scenario 2",'CBA Inputs'!H$212-'CBA Inputs'!H222,0)+IF(Scenario_Select="Scenario 3",'CBA Inputs'!H$227-'CBA Inputs'!H237,0)+IF(Scenario_Select="Scenario 4",'CBA Inputs'!H$242-'CBA Inputs'!H252,0)),0)*I$55</f>
        <v>239</v>
      </c>
      <c r="J200" s="17">
        <f>IFERROR('Option inputs'!$F24*(IF(Scenario_Select="Scenario 1",'CBA Inputs'!I$197-'CBA Inputs'!I207,0)+IF(Scenario_Select="Scenario 2",'CBA Inputs'!I$212-'CBA Inputs'!I222,0)+IF(Scenario_Select="Scenario 3",'CBA Inputs'!I$227-'CBA Inputs'!I237,0)+IF(Scenario_Select="Scenario 4",'CBA Inputs'!I$242-'CBA Inputs'!I252,0)),0)*J$55</f>
        <v>190</v>
      </c>
      <c r="K200" s="17">
        <f>IFERROR('Option inputs'!$F24*(IF(Scenario_Select="Scenario 1",'CBA Inputs'!J$197-'CBA Inputs'!J207,0)+IF(Scenario_Select="Scenario 2",'CBA Inputs'!J$212-'CBA Inputs'!J222,0)+IF(Scenario_Select="Scenario 3",'CBA Inputs'!J$227-'CBA Inputs'!J237,0)+IF(Scenario_Select="Scenario 4",'CBA Inputs'!J$242-'CBA Inputs'!J252,0)),0)*K$55</f>
        <v>-24869654</v>
      </c>
      <c r="L200" s="17">
        <f>IFERROR('Option inputs'!$F24*(IF(Scenario_Select="Scenario 1",'CBA Inputs'!K$197-'CBA Inputs'!K207,0)+IF(Scenario_Select="Scenario 2",'CBA Inputs'!K$212-'CBA Inputs'!K222,0)+IF(Scenario_Select="Scenario 3",'CBA Inputs'!K$227-'CBA Inputs'!K237,0)+IF(Scenario_Select="Scenario 4",'CBA Inputs'!K$242-'CBA Inputs'!K252,0)),0)*L$55</f>
        <v>-21049359</v>
      </c>
      <c r="M200" s="17">
        <f>IFERROR('Option inputs'!$F24*(IF(Scenario_Select="Scenario 1",'CBA Inputs'!L$197-'CBA Inputs'!L207,0)+IF(Scenario_Select="Scenario 2",'CBA Inputs'!L$212-'CBA Inputs'!L222,0)+IF(Scenario_Select="Scenario 3",'CBA Inputs'!L$227-'CBA Inputs'!L237,0)+IF(Scenario_Select="Scenario 4",'CBA Inputs'!L$242-'CBA Inputs'!L252,0)),0)*M$55</f>
        <v>-18272699</v>
      </c>
      <c r="N200" s="17">
        <f>IFERROR('Option inputs'!$F24*(IF(Scenario_Select="Scenario 1",'CBA Inputs'!M$197-'CBA Inputs'!M207,0)+IF(Scenario_Select="Scenario 2",'CBA Inputs'!M$212-'CBA Inputs'!M222,0)+IF(Scenario_Select="Scenario 3",'CBA Inputs'!M$227-'CBA Inputs'!M237,0)+IF(Scenario_Select="Scenario 4",'CBA Inputs'!M$242-'CBA Inputs'!M252,0)),0)*N$55</f>
        <v>-6559168</v>
      </c>
      <c r="O200" s="17">
        <f>IFERROR('Option inputs'!$F24*(IF(Scenario_Select="Scenario 1",'CBA Inputs'!N$197-'CBA Inputs'!N207,0)+IF(Scenario_Select="Scenario 2",'CBA Inputs'!N$212-'CBA Inputs'!N222,0)+IF(Scenario_Select="Scenario 3",'CBA Inputs'!N$227-'CBA Inputs'!N237,0)+IF(Scenario_Select="Scenario 4",'CBA Inputs'!N$242-'CBA Inputs'!N252,0)),0)*O$55</f>
        <v>-5894062</v>
      </c>
      <c r="P200" s="17">
        <f>IFERROR('Option inputs'!$F24*(IF(Scenario_Select="Scenario 1",'CBA Inputs'!O$197-'CBA Inputs'!O207,0)+IF(Scenario_Select="Scenario 2",'CBA Inputs'!O$212-'CBA Inputs'!O222,0)+IF(Scenario_Select="Scenario 3",'CBA Inputs'!O$227-'CBA Inputs'!O237,0)+IF(Scenario_Select="Scenario 4",'CBA Inputs'!O$242-'CBA Inputs'!O252,0)),0)*P$55</f>
        <v>-9427138</v>
      </c>
      <c r="Q200" s="17">
        <f>IFERROR('Option inputs'!$F24*(IF(Scenario_Select="Scenario 1",'CBA Inputs'!P$197-'CBA Inputs'!P207,0)+IF(Scenario_Select="Scenario 2",'CBA Inputs'!P$212-'CBA Inputs'!P222,0)+IF(Scenario_Select="Scenario 3",'CBA Inputs'!P$227-'CBA Inputs'!P237,0)+IF(Scenario_Select="Scenario 4",'CBA Inputs'!P$242-'CBA Inputs'!P252,0)),0)*Q$55</f>
        <v>-22700212</v>
      </c>
      <c r="R200" s="17">
        <f>IFERROR('Option inputs'!$F24*(IF(Scenario_Select="Scenario 1",'CBA Inputs'!Q$197-'CBA Inputs'!Q207,0)+IF(Scenario_Select="Scenario 2",'CBA Inputs'!Q$212-'CBA Inputs'!Q222,0)+IF(Scenario_Select="Scenario 3",'CBA Inputs'!Q$227-'CBA Inputs'!Q237,0)+IF(Scenario_Select="Scenario 4",'CBA Inputs'!Q$242-'CBA Inputs'!Q252,0)),0)*R$55</f>
        <v>17159603</v>
      </c>
      <c r="S200" s="17">
        <f>IFERROR('Option inputs'!$F24*(IF(Scenario_Select="Scenario 1",'CBA Inputs'!R$197-'CBA Inputs'!R207,0)+IF(Scenario_Select="Scenario 2",'CBA Inputs'!R$212-'CBA Inputs'!R222,0)+IF(Scenario_Select="Scenario 3",'CBA Inputs'!R$227-'CBA Inputs'!R237,0)+IF(Scenario_Select="Scenario 4",'CBA Inputs'!R$242-'CBA Inputs'!R252,0)),0)*S$55</f>
        <v>44977591</v>
      </c>
      <c r="T200" s="17">
        <f>IFERROR('Option inputs'!$F24*(IF(Scenario_Select="Scenario 1",'CBA Inputs'!S$197-'CBA Inputs'!S207,0)+IF(Scenario_Select="Scenario 2",'CBA Inputs'!S$212-'CBA Inputs'!S222,0)+IF(Scenario_Select="Scenario 3",'CBA Inputs'!S$227-'CBA Inputs'!S237,0)+IF(Scenario_Select="Scenario 4",'CBA Inputs'!S$242-'CBA Inputs'!S252,0)),0)*T$55</f>
        <v>51725207</v>
      </c>
      <c r="U200" s="17">
        <f>IFERROR('Option inputs'!$F24*(IF(Scenario_Select="Scenario 1",'CBA Inputs'!T$197-'CBA Inputs'!T207,0)+IF(Scenario_Select="Scenario 2",'CBA Inputs'!T$212-'CBA Inputs'!T222,0)+IF(Scenario_Select="Scenario 3",'CBA Inputs'!T$227-'CBA Inputs'!T237,0)+IF(Scenario_Select="Scenario 4",'CBA Inputs'!T$242-'CBA Inputs'!T252,0)),0)*U$55</f>
        <v>50202926</v>
      </c>
      <c r="V200" s="17">
        <f>IFERROR('Option inputs'!$F24*(IF(Scenario_Select="Scenario 1",'CBA Inputs'!U$197-'CBA Inputs'!U207,0)+IF(Scenario_Select="Scenario 2",'CBA Inputs'!U$212-'CBA Inputs'!U222,0)+IF(Scenario_Select="Scenario 3",'CBA Inputs'!U$227-'CBA Inputs'!U237,0)+IF(Scenario_Select="Scenario 4",'CBA Inputs'!U$242-'CBA Inputs'!U252,0)),0)*V$55</f>
        <v>62055807</v>
      </c>
      <c r="W200" s="17">
        <f>IFERROR('Option inputs'!$F24*(IF(Scenario_Select="Scenario 1",'CBA Inputs'!V$197-'CBA Inputs'!V207,0)+IF(Scenario_Select="Scenario 2",'CBA Inputs'!V$212-'CBA Inputs'!V222,0)+IF(Scenario_Select="Scenario 3",'CBA Inputs'!V$227-'CBA Inputs'!V237,0)+IF(Scenario_Select="Scenario 4",'CBA Inputs'!V$242-'CBA Inputs'!V252,0)),0)*W$55</f>
        <v>139123534</v>
      </c>
      <c r="X200" s="17">
        <f>IFERROR('Option inputs'!$F24*(IF(Scenario_Select="Scenario 1",'CBA Inputs'!W$197-'CBA Inputs'!W207,0)+IF(Scenario_Select="Scenario 2",'CBA Inputs'!W$212-'CBA Inputs'!W222,0)+IF(Scenario_Select="Scenario 3",'CBA Inputs'!W$227-'CBA Inputs'!W237,0)+IF(Scenario_Select="Scenario 4",'CBA Inputs'!W$242-'CBA Inputs'!W252,0)),0)*X$55</f>
        <v>140113971</v>
      </c>
      <c r="Y200" s="17">
        <f>IFERROR('Option inputs'!$F24*(IF(Scenario_Select="Scenario 1",'CBA Inputs'!X$197-'CBA Inputs'!X207,0)+IF(Scenario_Select="Scenario 2",'CBA Inputs'!X$212-'CBA Inputs'!X222,0)+IF(Scenario_Select="Scenario 3",'CBA Inputs'!X$227-'CBA Inputs'!X237,0)+IF(Scenario_Select="Scenario 4",'CBA Inputs'!X$242-'CBA Inputs'!X252,0)),0)*Y$55</f>
        <v>470799899</v>
      </c>
      <c r="Z200" s="17">
        <f>IFERROR('Option inputs'!$F24*(IF(Scenario_Select="Scenario 1",'CBA Inputs'!Y$197-'CBA Inputs'!Y207,0)+IF(Scenario_Select="Scenario 2",'CBA Inputs'!Y$212-'CBA Inputs'!Y222,0)+IF(Scenario_Select="Scenario 3",'CBA Inputs'!Y$227-'CBA Inputs'!Y237,0)+IF(Scenario_Select="Scenario 4",'CBA Inputs'!Y$242-'CBA Inputs'!Y252,0)),0)*Z$55</f>
        <v>433832250</v>
      </c>
      <c r="AA200" s="17">
        <f>IFERROR('Option inputs'!$F24*(IF(Scenario_Select="Scenario 1",'CBA Inputs'!Z$197-'CBA Inputs'!Z207,0)+IF(Scenario_Select="Scenario 2",'CBA Inputs'!Z$212-'CBA Inputs'!Z222,0)+IF(Scenario_Select="Scenario 3",'CBA Inputs'!Z$227-'CBA Inputs'!Z237,0)+IF(Scenario_Select="Scenario 4",'CBA Inputs'!Z$242-'CBA Inputs'!Z252,0)),0)*AA$55</f>
        <v>417978476</v>
      </c>
      <c r="AB200" s="17">
        <f>IFERROR('Option inputs'!$F24*(IF(Scenario_Select="Scenario 1",'CBA Inputs'!AA$197-'CBA Inputs'!AA207,0)+IF(Scenario_Select="Scenario 2",'CBA Inputs'!AA$212-'CBA Inputs'!AA222,0)+IF(Scenario_Select="Scenario 3",'CBA Inputs'!AA$227-'CBA Inputs'!AA237,0)+IF(Scenario_Select="Scenario 4",'CBA Inputs'!AA$242-'CBA Inputs'!AA252,0)),0)*AB$55</f>
        <v>407318717</v>
      </c>
      <c r="AC200" s="17">
        <f>IFERROR('Option inputs'!$F24*(IF(Scenario_Select="Scenario 1",'CBA Inputs'!AB$197-'CBA Inputs'!AB207,0)+IF(Scenario_Select="Scenario 2",'CBA Inputs'!AB$212-'CBA Inputs'!AB222,0)+IF(Scenario_Select="Scenario 3",'CBA Inputs'!AB$227-'CBA Inputs'!AB237,0)+IF(Scenario_Select="Scenario 4",'CBA Inputs'!AB$242-'CBA Inputs'!AB252,0)),0)*AC$55</f>
        <v>402735690</v>
      </c>
      <c r="AD200" s="17">
        <f>IFERROR('Option inputs'!$F24*(IF(Scenario_Select="Scenario 1",'CBA Inputs'!AC$197-'CBA Inputs'!AC207,0)+IF(Scenario_Select="Scenario 2",'CBA Inputs'!AC$212-'CBA Inputs'!AC222,0)+IF(Scenario_Select="Scenario 3",'CBA Inputs'!AC$227-'CBA Inputs'!AC237,0)+IF(Scenario_Select="Scenario 4",'CBA Inputs'!AC$242-'CBA Inputs'!AC252,0)),0)*AD$55</f>
        <v>467078621</v>
      </c>
      <c r="AE200" s="17">
        <f>IFERROR('Option inputs'!$F24*(IF(Scenario_Select="Scenario 1",'CBA Inputs'!AD$197-'CBA Inputs'!AD207,0)+IF(Scenario_Select="Scenario 2",'CBA Inputs'!AD$212-'CBA Inputs'!AD222,0)+IF(Scenario_Select="Scenario 3",'CBA Inputs'!AD$227-'CBA Inputs'!AD237,0)+IF(Scenario_Select="Scenario 4",'CBA Inputs'!AD$242-'CBA Inputs'!AD252,0)),0)*AE$55</f>
        <v>406071747</v>
      </c>
      <c r="AF200" s="17">
        <f>IFERROR('Option inputs'!$F24*(IF(Scenario_Select="Scenario 1",'CBA Inputs'!AE$197-'CBA Inputs'!AE207,0)+IF(Scenario_Select="Scenario 2",'CBA Inputs'!AE$212-'CBA Inputs'!AE222,0)+IF(Scenario_Select="Scenario 3",'CBA Inputs'!AE$227-'CBA Inputs'!AE237,0)+IF(Scenario_Select="Scenario 4",'CBA Inputs'!AE$242-'CBA Inputs'!AE252,0)),0)*AF$55</f>
        <v>450814827</v>
      </c>
      <c r="AG200" s="17">
        <f>IFERROR('Option inputs'!$F24*(IF(Scenario_Select="Scenario 1",'CBA Inputs'!AF$197-'CBA Inputs'!AF207,0)+IF(Scenario_Select="Scenario 2",'CBA Inputs'!AF$212-'CBA Inputs'!AF222,0)+IF(Scenario_Select="Scenario 3",'CBA Inputs'!AF$227-'CBA Inputs'!AF237,0)+IF(Scenario_Select="Scenario 4",'CBA Inputs'!AF$242-'CBA Inputs'!AF252,0)),0)*AG$55</f>
        <v>0</v>
      </c>
      <c r="AH200" s="17">
        <f>IFERROR('Option inputs'!$F24*(IF(Scenario_Select="Scenario 1",'CBA Inputs'!AG$197-'CBA Inputs'!AG207,0)+IF(Scenario_Select="Scenario 2",'CBA Inputs'!AG$212-'CBA Inputs'!AG222,0)+IF(Scenario_Select="Scenario 3",'CBA Inputs'!AG$227-'CBA Inputs'!AG237,0)+IF(Scenario_Select="Scenario 4",'CBA Inputs'!AG$242-'CBA Inputs'!AG252,0)),0)*AH$55</f>
        <v>0</v>
      </c>
      <c r="AI200" s="17">
        <f>IFERROR('Option inputs'!$F24*(IF(Scenario_Select="Scenario 1",'CBA Inputs'!AH$197-'CBA Inputs'!AH207,0)+IF(Scenario_Select="Scenario 2",'CBA Inputs'!AH$212-'CBA Inputs'!AH222,0)+IF(Scenario_Select="Scenario 3",'CBA Inputs'!AH$227-'CBA Inputs'!AH237,0)+IF(Scenario_Select="Scenario 4",'CBA Inputs'!AH$242-'CBA Inputs'!AH252,0)),0)*AI$55</f>
        <v>0</v>
      </c>
      <c r="AJ200" s="17">
        <f>IFERROR('Option inputs'!$F24*(IF(Scenario_Select="Scenario 1",'CBA Inputs'!AI$197-'CBA Inputs'!AI207,0)+IF(Scenario_Select="Scenario 2",'CBA Inputs'!AI$212-'CBA Inputs'!AI222,0)+IF(Scenario_Select="Scenario 3",'CBA Inputs'!AI$227-'CBA Inputs'!AI237,0)+IF(Scenario_Select="Scenario 4",'CBA Inputs'!AI$242-'CBA Inputs'!AI252,0)),0)*AJ$55</f>
        <v>0</v>
      </c>
    </row>
    <row r="201" spans="2:36" x14ac:dyDescent="0.35">
      <c r="B201" s="9">
        <f>'Option inputs'!B25</f>
        <v>11</v>
      </c>
      <c r="C201" s="14" t="str">
        <f>'Option inputs'!C25</f>
        <v>Option 4B</v>
      </c>
      <c r="D201" s="26"/>
      <c r="E201" s="12" t="s">
        <v>35</v>
      </c>
      <c r="F201" s="18">
        <f t="shared" si="47"/>
        <v>1437301920.7961676</v>
      </c>
      <c r="G201" s="17">
        <f>IFERROR('Option inputs'!$F25*(IF(Scenario_Select="Scenario 1",'CBA Inputs'!F$197-'CBA Inputs'!F208,0)+IF(Scenario_Select="Scenario 2",'CBA Inputs'!F$212-'CBA Inputs'!F223,0)+IF(Scenario_Select="Scenario 3",'CBA Inputs'!F$227-'CBA Inputs'!F238,0)+IF(Scenario_Select="Scenario 4",'CBA Inputs'!F$242-'CBA Inputs'!F253,0)),0)*G$55</f>
        <v>0</v>
      </c>
      <c r="H201" s="17">
        <f>IFERROR('Option inputs'!$F25*(IF(Scenario_Select="Scenario 1",'CBA Inputs'!G$197-'CBA Inputs'!G208,0)+IF(Scenario_Select="Scenario 2",'CBA Inputs'!G$212-'CBA Inputs'!G223,0)+IF(Scenario_Select="Scenario 3",'CBA Inputs'!G$227-'CBA Inputs'!G238,0)+IF(Scenario_Select="Scenario 4",'CBA Inputs'!G$242-'CBA Inputs'!G253,0)),0)*H$55</f>
        <v>-518</v>
      </c>
      <c r="I201" s="17">
        <f>IFERROR('Option inputs'!$F25*(IF(Scenario_Select="Scenario 1",'CBA Inputs'!H$197-'CBA Inputs'!H208,0)+IF(Scenario_Select="Scenario 2",'CBA Inputs'!H$212-'CBA Inputs'!H223,0)+IF(Scenario_Select="Scenario 3",'CBA Inputs'!H$227-'CBA Inputs'!H238,0)+IF(Scenario_Select="Scenario 4",'CBA Inputs'!H$242-'CBA Inputs'!H253,0)),0)*I$55</f>
        <v>-458</v>
      </c>
      <c r="J201" s="17">
        <f>IFERROR('Option inputs'!$F25*(IF(Scenario_Select="Scenario 1",'CBA Inputs'!I$197-'CBA Inputs'!I208,0)+IF(Scenario_Select="Scenario 2",'CBA Inputs'!I$212-'CBA Inputs'!I223,0)+IF(Scenario_Select="Scenario 3",'CBA Inputs'!I$227-'CBA Inputs'!I238,0)+IF(Scenario_Select="Scenario 4",'CBA Inputs'!I$242-'CBA Inputs'!I253,0)),0)*J$55</f>
        <v>-553</v>
      </c>
      <c r="K201" s="17">
        <f>IFERROR('Option inputs'!$F25*(IF(Scenario_Select="Scenario 1",'CBA Inputs'!J$197-'CBA Inputs'!J208,0)+IF(Scenario_Select="Scenario 2",'CBA Inputs'!J$212-'CBA Inputs'!J223,0)+IF(Scenario_Select="Scenario 3",'CBA Inputs'!J$227-'CBA Inputs'!J238,0)+IF(Scenario_Select="Scenario 4",'CBA Inputs'!J$242-'CBA Inputs'!J253,0)),0)*K$55</f>
        <v>-29973908</v>
      </c>
      <c r="L201" s="17">
        <f>IFERROR('Option inputs'!$F25*(IF(Scenario_Select="Scenario 1",'CBA Inputs'!K$197-'CBA Inputs'!K208,0)+IF(Scenario_Select="Scenario 2",'CBA Inputs'!K$212-'CBA Inputs'!K223,0)+IF(Scenario_Select="Scenario 3",'CBA Inputs'!K$227-'CBA Inputs'!K238,0)+IF(Scenario_Select="Scenario 4",'CBA Inputs'!K$242-'CBA Inputs'!K253,0)),0)*L$55</f>
        <v>-22592700</v>
      </c>
      <c r="M201" s="17">
        <f>IFERROR('Option inputs'!$F25*(IF(Scenario_Select="Scenario 1",'CBA Inputs'!L$197-'CBA Inputs'!L208,0)+IF(Scenario_Select="Scenario 2",'CBA Inputs'!L$212-'CBA Inputs'!L223,0)+IF(Scenario_Select="Scenario 3",'CBA Inputs'!L$227-'CBA Inputs'!L238,0)+IF(Scenario_Select="Scenario 4",'CBA Inputs'!L$242-'CBA Inputs'!L253,0)),0)*M$55</f>
        <v>-19546364</v>
      </c>
      <c r="N201" s="17">
        <f>IFERROR('Option inputs'!$F25*(IF(Scenario_Select="Scenario 1",'CBA Inputs'!M$197-'CBA Inputs'!M208,0)+IF(Scenario_Select="Scenario 2",'CBA Inputs'!M$212-'CBA Inputs'!M223,0)+IF(Scenario_Select="Scenario 3",'CBA Inputs'!M$227-'CBA Inputs'!M238,0)+IF(Scenario_Select="Scenario 4",'CBA Inputs'!M$242-'CBA Inputs'!M253,0)),0)*N$55</f>
        <v>-6661961</v>
      </c>
      <c r="O201" s="17">
        <f>IFERROR('Option inputs'!$F25*(IF(Scenario_Select="Scenario 1",'CBA Inputs'!N$197-'CBA Inputs'!N208,0)+IF(Scenario_Select="Scenario 2",'CBA Inputs'!N$212-'CBA Inputs'!N223,0)+IF(Scenario_Select="Scenario 3",'CBA Inputs'!N$227-'CBA Inputs'!N238,0)+IF(Scenario_Select="Scenario 4",'CBA Inputs'!N$242-'CBA Inputs'!N253,0)),0)*O$55</f>
        <v>-6744634</v>
      </c>
      <c r="P201" s="17">
        <f>IFERROR('Option inputs'!$F25*(IF(Scenario_Select="Scenario 1",'CBA Inputs'!O$197-'CBA Inputs'!O208,0)+IF(Scenario_Select="Scenario 2",'CBA Inputs'!O$212-'CBA Inputs'!O223,0)+IF(Scenario_Select="Scenario 3",'CBA Inputs'!O$227-'CBA Inputs'!O238,0)+IF(Scenario_Select="Scenario 4",'CBA Inputs'!O$242-'CBA Inputs'!O253,0)),0)*P$55</f>
        <v>-11153320</v>
      </c>
      <c r="Q201" s="17">
        <f>IFERROR('Option inputs'!$F25*(IF(Scenario_Select="Scenario 1",'CBA Inputs'!P$197-'CBA Inputs'!P208,0)+IF(Scenario_Select="Scenario 2",'CBA Inputs'!P$212-'CBA Inputs'!P223,0)+IF(Scenario_Select="Scenario 3",'CBA Inputs'!P$227-'CBA Inputs'!P238,0)+IF(Scenario_Select="Scenario 4",'CBA Inputs'!P$242-'CBA Inputs'!P253,0)),0)*Q$55</f>
        <v>-70067531</v>
      </c>
      <c r="R201" s="17">
        <f>IFERROR('Option inputs'!$F25*(IF(Scenario_Select="Scenario 1",'CBA Inputs'!Q$197-'CBA Inputs'!Q208,0)+IF(Scenario_Select="Scenario 2",'CBA Inputs'!Q$212-'CBA Inputs'!Q223,0)+IF(Scenario_Select="Scenario 3",'CBA Inputs'!Q$227-'CBA Inputs'!Q238,0)+IF(Scenario_Select="Scenario 4",'CBA Inputs'!Q$242-'CBA Inputs'!Q253,0)),0)*R$55</f>
        <v>10342518</v>
      </c>
      <c r="S201" s="17">
        <f>IFERROR('Option inputs'!$F25*(IF(Scenario_Select="Scenario 1",'CBA Inputs'!R$197-'CBA Inputs'!R208,0)+IF(Scenario_Select="Scenario 2",'CBA Inputs'!R$212-'CBA Inputs'!R223,0)+IF(Scenario_Select="Scenario 3",'CBA Inputs'!R$227-'CBA Inputs'!R238,0)+IF(Scenario_Select="Scenario 4",'CBA Inputs'!R$242-'CBA Inputs'!R253,0)),0)*S$55</f>
        <v>-16649692</v>
      </c>
      <c r="T201" s="17">
        <f>IFERROR('Option inputs'!$F25*(IF(Scenario_Select="Scenario 1",'CBA Inputs'!S$197-'CBA Inputs'!S208,0)+IF(Scenario_Select="Scenario 2",'CBA Inputs'!S$212-'CBA Inputs'!S223,0)+IF(Scenario_Select="Scenario 3",'CBA Inputs'!S$227-'CBA Inputs'!S238,0)+IF(Scenario_Select="Scenario 4",'CBA Inputs'!S$242-'CBA Inputs'!S253,0)),0)*T$55</f>
        <v>10054724</v>
      </c>
      <c r="U201" s="17">
        <f>IFERROR('Option inputs'!$F25*(IF(Scenario_Select="Scenario 1",'CBA Inputs'!T$197-'CBA Inputs'!T208,0)+IF(Scenario_Select="Scenario 2",'CBA Inputs'!T$212-'CBA Inputs'!T223,0)+IF(Scenario_Select="Scenario 3",'CBA Inputs'!T$227-'CBA Inputs'!T238,0)+IF(Scenario_Select="Scenario 4",'CBA Inputs'!T$242-'CBA Inputs'!T253,0)),0)*U$55</f>
        <v>23498208</v>
      </c>
      <c r="V201" s="17">
        <f>IFERROR('Option inputs'!$F25*(IF(Scenario_Select="Scenario 1",'CBA Inputs'!U$197-'CBA Inputs'!U208,0)+IF(Scenario_Select="Scenario 2",'CBA Inputs'!U$212-'CBA Inputs'!U223,0)+IF(Scenario_Select="Scenario 3",'CBA Inputs'!U$227-'CBA Inputs'!U238,0)+IF(Scenario_Select="Scenario 4",'CBA Inputs'!U$242-'CBA Inputs'!U253,0)),0)*V$55</f>
        <v>5667980</v>
      </c>
      <c r="W201" s="17">
        <f>IFERROR('Option inputs'!$F25*(IF(Scenario_Select="Scenario 1",'CBA Inputs'!V$197-'CBA Inputs'!V208,0)+IF(Scenario_Select="Scenario 2",'CBA Inputs'!V$212-'CBA Inputs'!V223,0)+IF(Scenario_Select="Scenario 3",'CBA Inputs'!V$227-'CBA Inputs'!V238,0)+IF(Scenario_Select="Scenario 4",'CBA Inputs'!V$242-'CBA Inputs'!V253,0)),0)*W$55</f>
        <v>167009587</v>
      </c>
      <c r="X201" s="17">
        <f>IFERROR('Option inputs'!$F25*(IF(Scenario_Select="Scenario 1",'CBA Inputs'!W$197-'CBA Inputs'!W208,0)+IF(Scenario_Select="Scenario 2",'CBA Inputs'!W$212-'CBA Inputs'!W223,0)+IF(Scenario_Select="Scenario 3",'CBA Inputs'!W$227-'CBA Inputs'!W238,0)+IF(Scenario_Select="Scenario 4",'CBA Inputs'!W$242-'CBA Inputs'!W253,0)),0)*X$55</f>
        <v>178848042</v>
      </c>
      <c r="Y201" s="17">
        <f>IFERROR('Option inputs'!$F25*(IF(Scenario_Select="Scenario 1",'CBA Inputs'!X$197-'CBA Inputs'!X208,0)+IF(Scenario_Select="Scenario 2",'CBA Inputs'!X$212-'CBA Inputs'!X223,0)+IF(Scenario_Select="Scenario 3",'CBA Inputs'!X$227-'CBA Inputs'!X238,0)+IF(Scenario_Select="Scenario 4",'CBA Inputs'!X$242-'CBA Inputs'!X253,0)),0)*Y$55</f>
        <v>603030358</v>
      </c>
      <c r="Z201" s="17">
        <f>IFERROR('Option inputs'!$F25*(IF(Scenario_Select="Scenario 1",'CBA Inputs'!Y$197-'CBA Inputs'!Y208,0)+IF(Scenario_Select="Scenario 2",'CBA Inputs'!Y$212-'CBA Inputs'!Y223,0)+IF(Scenario_Select="Scenario 3",'CBA Inputs'!Y$227-'CBA Inputs'!Y238,0)+IF(Scenario_Select="Scenario 4",'CBA Inputs'!Y$242-'CBA Inputs'!Y253,0)),0)*Z$55</f>
        <v>569918102</v>
      </c>
      <c r="AA201" s="17">
        <f>IFERROR('Option inputs'!$F25*(IF(Scenario_Select="Scenario 1",'CBA Inputs'!Z$197-'CBA Inputs'!Z208,0)+IF(Scenario_Select="Scenario 2",'CBA Inputs'!Z$212-'CBA Inputs'!Z223,0)+IF(Scenario_Select="Scenario 3",'CBA Inputs'!Z$227-'CBA Inputs'!Z238,0)+IF(Scenario_Select="Scenario 4",'CBA Inputs'!Z$242-'CBA Inputs'!Z253,0)),0)*AA$55</f>
        <v>578435284</v>
      </c>
      <c r="AB201" s="17">
        <f>IFERROR('Option inputs'!$F25*(IF(Scenario_Select="Scenario 1",'CBA Inputs'!AA$197-'CBA Inputs'!AA208,0)+IF(Scenario_Select="Scenario 2",'CBA Inputs'!AA$212-'CBA Inputs'!AA223,0)+IF(Scenario_Select="Scenario 3",'CBA Inputs'!AA$227-'CBA Inputs'!AA238,0)+IF(Scenario_Select="Scenario 4",'CBA Inputs'!AA$242-'CBA Inputs'!AA253,0)),0)*AB$55</f>
        <v>567253122</v>
      </c>
      <c r="AC201" s="17">
        <f>IFERROR('Option inputs'!$F25*(IF(Scenario_Select="Scenario 1",'CBA Inputs'!AB$197-'CBA Inputs'!AB208,0)+IF(Scenario_Select="Scenario 2",'CBA Inputs'!AB$212-'CBA Inputs'!AB223,0)+IF(Scenario_Select="Scenario 3",'CBA Inputs'!AB$227-'CBA Inputs'!AB238,0)+IF(Scenario_Select="Scenario 4",'CBA Inputs'!AB$242-'CBA Inputs'!AB253,0)),0)*AC$55</f>
        <v>565238993</v>
      </c>
      <c r="AD201" s="17">
        <f>IFERROR('Option inputs'!$F25*(IF(Scenario_Select="Scenario 1",'CBA Inputs'!AC$197-'CBA Inputs'!AC208,0)+IF(Scenario_Select="Scenario 2",'CBA Inputs'!AC$212-'CBA Inputs'!AC223,0)+IF(Scenario_Select="Scenario 3",'CBA Inputs'!AC$227-'CBA Inputs'!AC238,0)+IF(Scenario_Select="Scenario 4",'CBA Inputs'!AC$242-'CBA Inputs'!AC253,0)),0)*AD$55</f>
        <v>647693026</v>
      </c>
      <c r="AE201" s="17">
        <f>IFERROR('Option inputs'!$F25*(IF(Scenario_Select="Scenario 1",'CBA Inputs'!AD$197-'CBA Inputs'!AD208,0)+IF(Scenario_Select="Scenario 2",'CBA Inputs'!AD$212-'CBA Inputs'!AD223,0)+IF(Scenario_Select="Scenario 3",'CBA Inputs'!AD$227-'CBA Inputs'!AD238,0)+IF(Scenario_Select="Scenario 4",'CBA Inputs'!AD$242-'CBA Inputs'!AD253,0)),0)*AE$55</f>
        <v>591537873</v>
      </c>
      <c r="AF201" s="17">
        <f>IFERROR('Option inputs'!$F25*(IF(Scenario_Select="Scenario 1",'CBA Inputs'!AE$197-'CBA Inputs'!AE208,0)+IF(Scenario_Select="Scenario 2",'CBA Inputs'!AE$212-'CBA Inputs'!AE223,0)+IF(Scenario_Select="Scenario 3",'CBA Inputs'!AE$227-'CBA Inputs'!AE238,0)+IF(Scenario_Select="Scenario 4",'CBA Inputs'!AE$242-'CBA Inputs'!AE253,0)),0)*AF$55</f>
        <v>646470636</v>
      </c>
      <c r="AG201" s="17">
        <f>IFERROR('Option inputs'!$F25*(IF(Scenario_Select="Scenario 1",'CBA Inputs'!AF$197-'CBA Inputs'!AF208,0)+IF(Scenario_Select="Scenario 2",'CBA Inputs'!AF$212-'CBA Inputs'!AF223,0)+IF(Scenario_Select="Scenario 3",'CBA Inputs'!AF$227-'CBA Inputs'!AF238,0)+IF(Scenario_Select="Scenario 4",'CBA Inputs'!AF$242-'CBA Inputs'!AF253,0)),0)*AG$55</f>
        <v>0</v>
      </c>
      <c r="AH201" s="17">
        <f>IFERROR('Option inputs'!$F25*(IF(Scenario_Select="Scenario 1",'CBA Inputs'!AG$197-'CBA Inputs'!AG208,0)+IF(Scenario_Select="Scenario 2",'CBA Inputs'!AG$212-'CBA Inputs'!AG223,0)+IF(Scenario_Select="Scenario 3",'CBA Inputs'!AG$227-'CBA Inputs'!AG238,0)+IF(Scenario_Select="Scenario 4",'CBA Inputs'!AG$242-'CBA Inputs'!AG253,0)),0)*AH$55</f>
        <v>0</v>
      </c>
      <c r="AI201" s="17">
        <f>IFERROR('Option inputs'!$F25*(IF(Scenario_Select="Scenario 1",'CBA Inputs'!AH$197-'CBA Inputs'!AH208,0)+IF(Scenario_Select="Scenario 2",'CBA Inputs'!AH$212-'CBA Inputs'!AH223,0)+IF(Scenario_Select="Scenario 3",'CBA Inputs'!AH$227-'CBA Inputs'!AH238,0)+IF(Scenario_Select="Scenario 4",'CBA Inputs'!AH$242-'CBA Inputs'!AH253,0)),0)*AI$55</f>
        <v>0</v>
      </c>
      <c r="AJ201" s="17">
        <f>IFERROR('Option inputs'!$F25*(IF(Scenario_Select="Scenario 1",'CBA Inputs'!AI$197-'CBA Inputs'!AI208,0)+IF(Scenario_Select="Scenario 2",'CBA Inputs'!AI$212-'CBA Inputs'!AI223,0)+IF(Scenario_Select="Scenario 3",'CBA Inputs'!AI$227-'CBA Inputs'!AI238,0)+IF(Scenario_Select="Scenario 4",'CBA Inputs'!AI$242-'CBA Inputs'!AI253,0)),0)*AJ$55</f>
        <v>0</v>
      </c>
    </row>
    <row r="202" spans="2:36" x14ac:dyDescent="0.35">
      <c r="B202" s="9">
        <f>'Option inputs'!B26</f>
        <v>12</v>
      </c>
      <c r="C202" s="14" t="str">
        <f>'Option inputs'!C26</f>
        <v>Option 4C</v>
      </c>
      <c r="D202" s="26"/>
      <c r="E202" s="12" t="s">
        <v>35</v>
      </c>
      <c r="F202" s="18">
        <f t="shared" si="47"/>
        <v>1371693999.1432395</v>
      </c>
      <c r="G202" s="17">
        <f>IFERROR('Option inputs'!$F26*(IF(Scenario_Select="Scenario 1",'CBA Inputs'!F$197-'CBA Inputs'!F209,0)+IF(Scenario_Select="Scenario 2",'CBA Inputs'!F$212-'CBA Inputs'!F224,0)+IF(Scenario_Select="Scenario 3",'CBA Inputs'!F$227-'CBA Inputs'!F239,0)+IF(Scenario_Select="Scenario 4",'CBA Inputs'!F$242-'CBA Inputs'!F254,0)),0)*G$55</f>
        <v>0</v>
      </c>
      <c r="H202" s="17">
        <f>IFERROR('Option inputs'!$F26*(IF(Scenario_Select="Scenario 1",'CBA Inputs'!G$197-'CBA Inputs'!G209,0)+IF(Scenario_Select="Scenario 2",'CBA Inputs'!G$212-'CBA Inputs'!G224,0)+IF(Scenario_Select="Scenario 3",'CBA Inputs'!G$227-'CBA Inputs'!G239,0)+IF(Scenario_Select="Scenario 4",'CBA Inputs'!G$242-'CBA Inputs'!G254,0)),0)*H$55</f>
        <v>12073</v>
      </c>
      <c r="I202" s="17">
        <f>IFERROR('Option inputs'!$F26*(IF(Scenario_Select="Scenario 1",'CBA Inputs'!H$197-'CBA Inputs'!H209,0)+IF(Scenario_Select="Scenario 2",'CBA Inputs'!H$212-'CBA Inputs'!H224,0)+IF(Scenario_Select="Scenario 3",'CBA Inputs'!H$227-'CBA Inputs'!H239,0)+IF(Scenario_Select="Scenario 4",'CBA Inputs'!H$242-'CBA Inputs'!H254,0)),0)*I$55</f>
        <v>11904</v>
      </c>
      <c r="J202" s="17">
        <f>IFERROR('Option inputs'!$F26*(IF(Scenario_Select="Scenario 1",'CBA Inputs'!I$197-'CBA Inputs'!I209,0)+IF(Scenario_Select="Scenario 2",'CBA Inputs'!I$212-'CBA Inputs'!I224,0)+IF(Scenario_Select="Scenario 3",'CBA Inputs'!I$227-'CBA Inputs'!I239,0)+IF(Scenario_Select="Scenario 4",'CBA Inputs'!I$242-'CBA Inputs'!I254,0)),0)*J$55</f>
        <v>13744</v>
      </c>
      <c r="K202" s="17">
        <f>IFERROR('Option inputs'!$F26*(IF(Scenario_Select="Scenario 1",'CBA Inputs'!J$197-'CBA Inputs'!J209,0)+IF(Scenario_Select="Scenario 2",'CBA Inputs'!J$212-'CBA Inputs'!J224,0)+IF(Scenario_Select="Scenario 3",'CBA Inputs'!J$227-'CBA Inputs'!J239,0)+IF(Scenario_Select="Scenario 4",'CBA Inputs'!J$242-'CBA Inputs'!J254,0)),0)*K$55</f>
        <v>-45816964</v>
      </c>
      <c r="L202" s="17">
        <f>IFERROR('Option inputs'!$F26*(IF(Scenario_Select="Scenario 1",'CBA Inputs'!K$197-'CBA Inputs'!K209,0)+IF(Scenario_Select="Scenario 2",'CBA Inputs'!K$212-'CBA Inputs'!K224,0)+IF(Scenario_Select="Scenario 3",'CBA Inputs'!K$227-'CBA Inputs'!K239,0)+IF(Scenario_Select="Scenario 4",'CBA Inputs'!K$242-'CBA Inputs'!K254,0)),0)*L$55</f>
        <v>-36778480</v>
      </c>
      <c r="M202" s="17">
        <f>IFERROR('Option inputs'!$F26*(IF(Scenario_Select="Scenario 1",'CBA Inputs'!L$197-'CBA Inputs'!L209,0)+IF(Scenario_Select="Scenario 2",'CBA Inputs'!L$212-'CBA Inputs'!L224,0)+IF(Scenario_Select="Scenario 3",'CBA Inputs'!L$227-'CBA Inputs'!L239,0)+IF(Scenario_Select="Scenario 4",'CBA Inputs'!L$242-'CBA Inputs'!L254,0)),0)*M$55</f>
        <v>-32663986</v>
      </c>
      <c r="N202" s="17">
        <f>IFERROR('Option inputs'!$F26*(IF(Scenario_Select="Scenario 1",'CBA Inputs'!M$197-'CBA Inputs'!M209,0)+IF(Scenario_Select="Scenario 2",'CBA Inputs'!M$212-'CBA Inputs'!M224,0)+IF(Scenario_Select="Scenario 3",'CBA Inputs'!M$227-'CBA Inputs'!M239,0)+IF(Scenario_Select="Scenario 4",'CBA Inputs'!M$242-'CBA Inputs'!M254,0)),0)*N$55</f>
        <v>-19402670</v>
      </c>
      <c r="O202" s="17">
        <f>IFERROR('Option inputs'!$F26*(IF(Scenario_Select="Scenario 1",'CBA Inputs'!N$197-'CBA Inputs'!N209,0)+IF(Scenario_Select="Scenario 2",'CBA Inputs'!N$212-'CBA Inputs'!N224,0)+IF(Scenario_Select="Scenario 3",'CBA Inputs'!N$227-'CBA Inputs'!N239,0)+IF(Scenario_Select="Scenario 4",'CBA Inputs'!N$242-'CBA Inputs'!N254,0)),0)*O$55</f>
        <v>-21065262</v>
      </c>
      <c r="P202" s="17">
        <f>IFERROR('Option inputs'!$F26*(IF(Scenario_Select="Scenario 1",'CBA Inputs'!O$197-'CBA Inputs'!O209,0)+IF(Scenario_Select="Scenario 2",'CBA Inputs'!O$212-'CBA Inputs'!O224,0)+IF(Scenario_Select="Scenario 3",'CBA Inputs'!O$227-'CBA Inputs'!O239,0)+IF(Scenario_Select="Scenario 4",'CBA Inputs'!O$242-'CBA Inputs'!O254,0)),0)*P$55</f>
        <v>-21822131</v>
      </c>
      <c r="Q202" s="17">
        <f>IFERROR('Option inputs'!$F26*(IF(Scenario_Select="Scenario 1",'CBA Inputs'!P$197-'CBA Inputs'!P209,0)+IF(Scenario_Select="Scenario 2",'CBA Inputs'!P$212-'CBA Inputs'!P224,0)+IF(Scenario_Select="Scenario 3",'CBA Inputs'!P$227-'CBA Inputs'!P239,0)+IF(Scenario_Select="Scenario 4",'CBA Inputs'!P$242-'CBA Inputs'!P254,0)),0)*Q$55</f>
        <v>-85072598</v>
      </c>
      <c r="R202" s="17">
        <f>IFERROR('Option inputs'!$F26*(IF(Scenario_Select="Scenario 1",'CBA Inputs'!Q$197-'CBA Inputs'!Q209,0)+IF(Scenario_Select="Scenario 2",'CBA Inputs'!Q$212-'CBA Inputs'!Q224,0)+IF(Scenario_Select="Scenario 3",'CBA Inputs'!Q$227-'CBA Inputs'!Q239,0)+IF(Scenario_Select="Scenario 4",'CBA Inputs'!Q$242-'CBA Inputs'!Q254,0)),0)*R$55</f>
        <v>10034659</v>
      </c>
      <c r="S202" s="17">
        <f>IFERROR('Option inputs'!$F26*(IF(Scenario_Select="Scenario 1",'CBA Inputs'!R$197-'CBA Inputs'!R209,0)+IF(Scenario_Select="Scenario 2",'CBA Inputs'!R$212-'CBA Inputs'!R224,0)+IF(Scenario_Select="Scenario 3",'CBA Inputs'!R$227-'CBA Inputs'!R239,0)+IF(Scenario_Select="Scenario 4",'CBA Inputs'!R$242-'CBA Inputs'!R254,0)),0)*S$55</f>
        <v>-16837176</v>
      </c>
      <c r="T202" s="17">
        <f>IFERROR('Option inputs'!$F26*(IF(Scenario_Select="Scenario 1",'CBA Inputs'!S$197-'CBA Inputs'!S209,0)+IF(Scenario_Select="Scenario 2",'CBA Inputs'!S$212-'CBA Inputs'!S224,0)+IF(Scenario_Select="Scenario 3",'CBA Inputs'!S$227-'CBA Inputs'!S239,0)+IF(Scenario_Select="Scenario 4",'CBA Inputs'!S$242-'CBA Inputs'!S254,0)),0)*T$55</f>
        <v>9980959</v>
      </c>
      <c r="U202" s="17">
        <f>IFERROR('Option inputs'!$F26*(IF(Scenario_Select="Scenario 1",'CBA Inputs'!T$197-'CBA Inputs'!T209,0)+IF(Scenario_Select="Scenario 2",'CBA Inputs'!T$212-'CBA Inputs'!T224,0)+IF(Scenario_Select="Scenario 3",'CBA Inputs'!T$227-'CBA Inputs'!T239,0)+IF(Scenario_Select="Scenario 4",'CBA Inputs'!T$242-'CBA Inputs'!T254,0)),0)*U$55</f>
        <v>23436350</v>
      </c>
      <c r="V202" s="17">
        <f>IFERROR('Option inputs'!$F26*(IF(Scenario_Select="Scenario 1",'CBA Inputs'!U$197-'CBA Inputs'!U209,0)+IF(Scenario_Select="Scenario 2",'CBA Inputs'!U$212-'CBA Inputs'!U224,0)+IF(Scenario_Select="Scenario 3",'CBA Inputs'!U$227-'CBA Inputs'!U239,0)+IF(Scenario_Select="Scenario 4",'CBA Inputs'!U$242-'CBA Inputs'!U254,0)),0)*V$55</f>
        <v>5640609</v>
      </c>
      <c r="W202" s="17">
        <f>IFERROR('Option inputs'!$F26*(IF(Scenario_Select="Scenario 1",'CBA Inputs'!V$197-'CBA Inputs'!V209,0)+IF(Scenario_Select="Scenario 2",'CBA Inputs'!V$212-'CBA Inputs'!V224,0)+IF(Scenario_Select="Scenario 3",'CBA Inputs'!V$227-'CBA Inputs'!V239,0)+IF(Scenario_Select="Scenario 4",'CBA Inputs'!V$242-'CBA Inputs'!V254,0)),0)*W$55</f>
        <v>166897869</v>
      </c>
      <c r="X202" s="17">
        <f>IFERROR('Option inputs'!$F26*(IF(Scenario_Select="Scenario 1",'CBA Inputs'!W$197-'CBA Inputs'!W209,0)+IF(Scenario_Select="Scenario 2",'CBA Inputs'!W$212-'CBA Inputs'!W224,0)+IF(Scenario_Select="Scenario 3",'CBA Inputs'!W$227-'CBA Inputs'!W239,0)+IF(Scenario_Select="Scenario 4",'CBA Inputs'!W$242-'CBA Inputs'!W254,0)),0)*X$55</f>
        <v>178836137</v>
      </c>
      <c r="Y202" s="17">
        <f>IFERROR('Option inputs'!$F26*(IF(Scenario_Select="Scenario 1",'CBA Inputs'!X$197-'CBA Inputs'!X209,0)+IF(Scenario_Select="Scenario 2",'CBA Inputs'!X$212-'CBA Inputs'!X224,0)+IF(Scenario_Select="Scenario 3",'CBA Inputs'!X$227-'CBA Inputs'!X239,0)+IF(Scenario_Select="Scenario 4",'CBA Inputs'!X$242-'CBA Inputs'!X254,0)),0)*Y$55</f>
        <v>603240550</v>
      </c>
      <c r="Z202" s="17">
        <f>IFERROR('Option inputs'!$F26*(IF(Scenario_Select="Scenario 1",'CBA Inputs'!Y$197-'CBA Inputs'!Y209,0)+IF(Scenario_Select="Scenario 2",'CBA Inputs'!Y$212-'CBA Inputs'!Y224,0)+IF(Scenario_Select="Scenario 3",'CBA Inputs'!Y$227-'CBA Inputs'!Y239,0)+IF(Scenario_Select="Scenario 4",'CBA Inputs'!Y$242-'CBA Inputs'!Y254,0)),0)*Z$55</f>
        <v>569490664</v>
      </c>
      <c r="AA202" s="17">
        <f>IFERROR('Option inputs'!$F26*(IF(Scenario_Select="Scenario 1",'CBA Inputs'!Z$197-'CBA Inputs'!Z209,0)+IF(Scenario_Select="Scenario 2",'CBA Inputs'!Z$212-'CBA Inputs'!Z224,0)+IF(Scenario_Select="Scenario 3",'CBA Inputs'!Z$227-'CBA Inputs'!Z239,0)+IF(Scenario_Select="Scenario 4",'CBA Inputs'!Z$242-'CBA Inputs'!Z254,0)),0)*AA$55</f>
        <v>578301479</v>
      </c>
      <c r="AB202" s="17">
        <f>IFERROR('Option inputs'!$F26*(IF(Scenario_Select="Scenario 1",'CBA Inputs'!AA$197-'CBA Inputs'!AA209,0)+IF(Scenario_Select="Scenario 2",'CBA Inputs'!AA$212-'CBA Inputs'!AA224,0)+IF(Scenario_Select="Scenario 3",'CBA Inputs'!AA$227-'CBA Inputs'!AA239,0)+IF(Scenario_Select="Scenario 4",'CBA Inputs'!AA$242-'CBA Inputs'!AA254,0)),0)*AB$55</f>
        <v>567097886</v>
      </c>
      <c r="AC202" s="17">
        <f>IFERROR('Option inputs'!$F26*(IF(Scenario_Select="Scenario 1",'CBA Inputs'!AB$197-'CBA Inputs'!AB209,0)+IF(Scenario_Select="Scenario 2",'CBA Inputs'!AB$212-'CBA Inputs'!AB224,0)+IF(Scenario_Select="Scenario 3",'CBA Inputs'!AB$227-'CBA Inputs'!AB239,0)+IF(Scenario_Select="Scenario 4",'CBA Inputs'!AB$242-'CBA Inputs'!AB254,0)),0)*AC$55</f>
        <v>565060805</v>
      </c>
      <c r="AD202" s="17">
        <f>IFERROR('Option inputs'!$F26*(IF(Scenario_Select="Scenario 1",'CBA Inputs'!AC$197-'CBA Inputs'!AC209,0)+IF(Scenario_Select="Scenario 2",'CBA Inputs'!AC$212-'CBA Inputs'!AC224,0)+IF(Scenario_Select="Scenario 3",'CBA Inputs'!AC$227-'CBA Inputs'!AC239,0)+IF(Scenario_Select="Scenario 4",'CBA Inputs'!AC$242-'CBA Inputs'!AC254,0)),0)*AD$55</f>
        <v>647531411</v>
      </c>
      <c r="AE202" s="17">
        <f>IFERROR('Option inputs'!$F26*(IF(Scenario_Select="Scenario 1",'CBA Inputs'!AD$197-'CBA Inputs'!AD209,0)+IF(Scenario_Select="Scenario 2",'CBA Inputs'!AD$212-'CBA Inputs'!AD224,0)+IF(Scenario_Select="Scenario 3",'CBA Inputs'!AD$227-'CBA Inputs'!AD239,0)+IF(Scenario_Select="Scenario 4",'CBA Inputs'!AD$242-'CBA Inputs'!AD254,0)),0)*AE$55</f>
        <v>591510081</v>
      </c>
      <c r="AF202" s="17">
        <f>IFERROR('Option inputs'!$F26*(IF(Scenario_Select="Scenario 1",'CBA Inputs'!AE$197-'CBA Inputs'!AE209,0)+IF(Scenario_Select="Scenario 2",'CBA Inputs'!AE$212-'CBA Inputs'!AE224,0)+IF(Scenario_Select="Scenario 3",'CBA Inputs'!AE$227-'CBA Inputs'!AE239,0)+IF(Scenario_Select="Scenario 4",'CBA Inputs'!AE$242-'CBA Inputs'!AE254,0)),0)*AF$55</f>
        <v>646278034</v>
      </c>
      <c r="AG202" s="17">
        <f>IFERROR('Option inputs'!$F26*(IF(Scenario_Select="Scenario 1",'CBA Inputs'!AF$197-'CBA Inputs'!AF209,0)+IF(Scenario_Select="Scenario 2",'CBA Inputs'!AF$212-'CBA Inputs'!AF224,0)+IF(Scenario_Select="Scenario 3",'CBA Inputs'!AF$227-'CBA Inputs'!AF239,0)+IF(Scenario_Select="Scenario 4",'CBA Inputs'!AF$242-'CBA Inputs'!AF254,0)),0)*AG$55</f>
        <v>0</v>
      </c>
      <c r="AH202" s="17">
        <f>IFERROR('Option inputs'!$F26*(IF(Scenario_Select="Scenario 1",'CBA Inputs'!AG$197-'CBA Inputs'!AG209,0)+IF(Scenario_Select="Scenario 2",'CBA Inputs'!AG$212-'CBA Inputs'!AG224,0)+IF(Scenario_Select="Scenario 3",'CBA Inputs'!AG$227-'CBA Inputs'!AG239,0)+IF(Scenario_Select="Scenario 4",'CBA Inputs'!AG$242-'CBA Inputs'!AG254,0)),0)*AH$55</f>
        <v>0</v>
      </c>
      <c r="AI202" s="17">
        <f>IFERROR('Option inputs'!$F26*(IF(Scenario_Select="Scenario 1",'CBA Inputs'!AH$197-'CBA Inputs'!AH209,0)+IF(Scenario_Select="Scenario 2",'CBA Inputs'!AH$212-'CBA Inputs'!AH224,0)+IF(Scenario_Select="Scenario 3",'CBA Inputs'!AH$227-'CBA Inputs'!AH239,0)+IF(Scenario_Select="Scenario 4",'CBA Inputs'!AH$242-'CBA Inputs'!AH254,0)),0)*AI$55</f>
        <v>0</v>
      </c>
      <c r="AJ202" s="17">
        <f>IFERROR('Option inputs'!$F26*(IF(Scenario_Select="Scenario 1",'CBA Inputs'!AI$197-'CBA Inputs'!AI209,0)+IF(Scenario_Select="Scenario 2",'CBA Inputs'!AI$212-'CBA Inputs'!AI224,0)+IF(Scenario_Select="Scenario 3",'CBA Inputs'!AI$227-'CBA Inputs'!AI239,0)+IF(Scenario_Select="Scenario 4",'CBA Inputs'!AI$242-'CBA Inputs'!AI254,0)),0)*AJ$55</f>
        <v>0</v>
      </c>
    </row>
    <row r="203" spans="2:36" x14ac:dyDescent="0.35">
      <c r="F203" s="134"/>
    </row>
    <row r="204" spans="2:36" x14ac:dyDescent="0.35">
      <c r="B204" s="5" t="str">
        <f>+'CBA Inputs'!B256</f>
        <v xml:space="preserve">Voluntary load curtailment </v>
      </c>
      <c r="C204" s="28"/>
      <c r="D204" s="28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x14ac:dyDescent="0.35">
      <c r="B205" s="7" t="s">
        <v>14</v>
      </c>
      <c r="C205" s="10" t="s">
        <v>13</v>
      </c>
      <c r="D205" s="10"/>
      <c r="E205" s="8" t="s">
        <v>22</v>
      </c>
      <c r="F205" s="8" t="s">
        <v>37</v>
      </c>
      <c r="G205" s="13" t="str">
        <f>G$56</f>
        <v>FY 2019-20</v>
      </c>
      <c r="H205" s="13" t="str">
        <f t="shared" ref="H205:AJ205" si="48">H$56</f>
        <v>FY 2020-21</v>
      </c>
      <c r="I205" s="13" t="str">
        <f t="shared" si="48"/>
        <v>FY 2021-22</v>
      </c>
      <c r="J205" s="13" t="str">
        <f t="shared" si="48"/>
        <v>FY 2022-23</v>
      </c>
      <c r="K205" s="13" t="str">
        <f t="shared" si="48"/>
        <v>FY 2023-24</v>
      </c>
      <c r="L205" s="13" t="str">
        <f t="shared" si="48"/>
        <v>FY 2024-25</v>
      </c>
      <c r="M205" s="13" t="str">
        <f t="shared" si="48"/>
        <v>FY 2025-26</v>
      </c>
      <c r="N205" s="13" t="str">
        <f t="shared" si="48"/>
        <v>FY 2026-27</v>
      </c>
      <c r="O205" s="13" t="str">
        <f t="shared" si="48"/>
        <v>FY 2027-28</v>
      </c>
      <c r="P205" s="13" t="str">
        <f t="shared" si="48"/>
        <v>FY 2028-29</v>
      </c>
      <c r="Q205" s="13" t="str">
        <f t="shared" si="48"/>
        <v>FY 2029-30</v>
      </c>
      <c r="R205" s="13" t="str">
        <f t="shared" si="48"/>
        <v>FY 2030-31</v>
      </c>
      <c r="S205" s="13" t="str">
        <f t="shared" si="48"/>
        <v>FY 2031-32</v>
      </c>
      <c r="T205" s="13" t="str">
        <f t="shared" si="48"/>
        <v>FY 2032-33</v>
      </c>
      <c r="U205" s="13" t="str">
        <f t="shared" si="48"/>
        <v>FY 2033-34</v>
      </c>
      <c r="V205" s="13" t="str">
        <f t="shared" si="48"/>
        <v>FY 2034-35</v>
      </c>
      <c r="W205" s="13" t="str">
        <f t="shared" si="48"/>
        <v>FY 2035-36</v>
      </c>
      <c r="X205" s="13" t="str">
        <f t="shared" si="48"/>
        <v>FY 2036-37</v>
      </c>
      <c r="Y205" s="13" t="str">
        <f t="shared" si="48"/>
        <v>FY 2037-38</v>
      </c>
      <c r="Z205" s="13" t="str">
        <f t="shared" si="48"/>
        <v>FY 2038-39</v>
      </c>
      <c r="AA205" s="13" t="str">
        <f t="shared" si="48"/>
        <v>FY 2039-40</v>
      </c>
      <c r="AB205" s="13" t="str">
        <f t="shared" si="48"/>
        <v>FY 2040-41</v>
      </c>
      <c r="AC205" s="13" t="str">
        <f t="shared" si="48"/>
        <v>FY 2041-42</v>
      </c>
      <c r="AD205" s="13" t="str">
        <f t="shared" si="48"/>
        <v>FY 2042-43</v>
      </c>
      <c r="AE205" s="13" t="str">
        <f t="shared" si="48"/>
        <v>FY 2043-44</v>
      </c>
      <c r="AF205" s="13" t="str">
        <f t="shared" si="48"/>
        <v>FY 2044-45</v>
      </c>
      <c r="AG205" s="13" t="str">
        <f t="shared" si="48"/>
        <v>FY 2045-46</v>
      </c>
      <c r="AH205" s="13" t="str">
        <f t="shared" si="48"/>
        <v>FY 2046-47</v>
      </c>
      <c r="AI205" s="13" t="str">
        <f t="shared" si="48"/>
        <v>FY 2047-48</v>
      </c>
      <c r="AJ205" s="13" t="str">
        <f t="shared" si="48"/>
        <v>FY 2048-49</v>
      </c>
    </row>
    <row r="206" spans="2:36" x14ac:dyDescent="0.35">
      <c r="B206" s="9">
        <f>'Option inputs'!B15</f>
        <v>1</v>
      </c>
      <c r="C206" s="14" t="str">
        <f>+'Option inputs'!C15</f>
        <v>Option 1A</v>
      </c>
      <c r="D206" s="26"/>
      <c r="E206" s="12" t="s">
        <v>35</v>
      </c>
      <c r="F206" s="18">
        <f t="shared" ref="F206:F217" si="49">NPV(DiscountRate_ACTIVE,G206:AJ206)/(1+DiscountRate_ACTIVE)^(FirstYear-BaseYear-1)</f>
        <v>24090427.942595992</v>
      </c>
      <c r="G206" s="17">
        <f>IFERROR('Option inputs'!$F15*(IF(Scenario_Select="Scenario 1",'CBA Inputs'!F$259-'CBA Inputs'!F260,0)+IF(Scenario_Select="Scenario 2",'CBA Inputs'!F$274-'CBA Inputs'!F275,0)+IF(Scenario_Select="Scenario 3",'CBA Inputs'!F$289-'CBA Inputs'!F290,0)+IF(Scenario_Select="Scenario 4",'CBA Inputs'!F$304-'CBA Inputs'!F305,0)),0)*G$55</f>
        <v>0</v>
      </c>
      <c r="H206" s="17">
        <f>IFERROR('Option inputs'!$F15*(IF(Scenario_Select="Scenario 1",'CBA Inputs'!G$259-'CBA Inputs'!G260,0)+IF(Scenario_Select="Scenario 2",'CBA Inputs'!G$274-'CBA Inputs'!G275,0)+IF(Scenario_Select="Scenario 3",'CBA Inputs'!G$289-'CBA Inputs'!G290,0)+IF(Scenario_Select="Scenario 4",'CBA Inputs'!G$304-'CBA Inputs'!G305,0)),0)*H$55</f>
        <v>1578</v>
      </c>
      <c r="I206" s="17">
        <f>IFERROR('Option inputs'!$F15*(IF(Scenario_Select="Scenario 1",'CBA Inputs'!H$259-'CBA Inputs'!H260,0)+IF(Scenario_Select="Scenario 2",'CBA Inputs'!H$274-'CBA Inputs'!H275,0)+IF(Scenario_Select="Scenario 3",'CBA Inputs'!H$289-'CBA Inputs'!H290,0)+IF(Scenario_Select="Scenario 4",'CBA Inputs'!H$304-'CBA Inputs'!H305,0)),0)*I$55</f>
        <v>1668</v>
      </c>
      <c r="J206" s="17">
        <f>IFERROR('Option inputs'!$F15*(IF(Scenario_Select="Scenario 1",'CBA Inputs'!I$259-'CBA Inputs'!I260,0)+IF(Scenario_Select="Scenario 2",'CBA Inputs'!I$274-'CBA Inputs'!I275,0)+IF(Scenario_Select="Scenario 3",'CBA Inputs'!I$289-'CBA Inputs'!I290,0)+IF(Scenario_Select="Scenario 4",'CBA Inputs'!I$304-'CBA Inputs'!I305,0)),0)*J$55</f>
        <v>1750</v>
      </c>
      <c r="K206" s="17">
        <f>IFERROR('Option inputs'!$F15*(IF(Scenario_Select="Scenario 1",'CBA Inputs'!J$259-'CBA Inputs'!J260,0)+IF(Scenario_Select="Scenario 2",'CBA Inputs'!J$274-'CBA Inputs'!J275,0)+IF(Scenario_Select="Scenario 3",'CBA Inputs'!J$289-'CBA Inputs'!J290,0)+IF(Scenario_Select="Scenario 4",'CBA Inputs'!J$304-'CBA Inputs'!J305,0)),0)*K$55</f>
        <v>-3101187</v>
      </c>
      <c r="L206" s="17">
        <f>IFERROR('Option inputs'!$F15*(IF(Scenario_Select="Scenario 1",'CBA Inputs'!K$259-'CBA Inputs'!K260,0)+IF(Scenario_Select="Scenario 2",'CBA Inputs'!K$274-'CBA Inputs'!K275,0)+IF(Scenario_Select="Scenario 3",'CBA Inputs'!K$289-'CBA Inputs'!K290,0)+IF(Scenario_Select="Scenario 4",'CBA Inputs'!K$304-'CBA Inputs'!K305,0)),0)*L$55</f>
        <v>-8468719</v>
      </c>
      <c r="M206" s="17">
        <f>IFERROR('Option inputs'!$F15*(IF(Scenario_Select="Scenario 1",'CBA Inputs'!L$259-'CBA Inputs'!L260,0)+IF(Scenario_Select="Scenario 2",'CBA Inputs'!L$274-'CBA Inputs'!L275,0)+IF(Scenario_Select="Scenario 3",'CBA Inputs'!L$289-'CBA Inputs'!L290,0)+IF(Scenario_Select="Scenario 4",'CBA Inputs'!L$304-'CBA Inputs'!L305,0)),0)*M$55</f>
        <v>121694</v>
      </c>
      <c r="N206" s="17">
        <f>IFERROR('Option inputs'!$F15*(IF(Scenario_Select="Scenario 1",'CBA Inputs'!M$259-'CBA Inputs'!M260,0)+IF(Scenario_Select="Scenario 2",'CBA Inputs'!M$274-'CBA Inputs'!M275,0)+IF(Scenario_Select="Scenario 3",'CBA Inputs'!M$289-'CBA Inputs'!M290,0)+IF(Scenario_Select="Scenario 4",'CBA Inputs'!M$304-'CBA Inputs'!M305,0)),0)*N$55</f>
        <v>11082019</v>
      </c>
      <c r="O206" s="17">
        <f>IFERROR('Option inputs'!$F15*(IF(Scenario_Select="Scenario 1",'CBA Inputs'!N$259-'CBA Inputs'!N260,0)+IF(Scenario_Select="Scenario 2",'CBA Inputs'!N$274-'CBA Inputs'!N275,0)+IF(Scenario_Select="Scenario 3",'CBA Inputs'!N$289-'CBA Inputs'!N290,0)+IF(Scenario_Select="Scenario 4",'CBA Inputs'!N$304-'CBA Inputs'!N305,0)),0)*O$55</f>
        <v>222858</v>
      </c>
      <c r="P206" s="17">
        <f>IFERROR('Option inputs'!$F15*(IF(Scenario_Select="Scenario 1",'CBA Inputs'!O$259-'CBA Inputs'!O260,0)+IF(Scenario_Select="Scenario 2",'CBA Inputs'!O$274-'CBA Inputs'!O275,0)+IF(Scenario_Select="Scenario 3",'CBA Inputs'!O$289-'CBA Inputs'!O290,0)+IF(Scenario_Select="Scenario 4",'CBA Inputs'!O$304-'CBA Inputs'!O305,0)),0)*P$55</f>
        <v>10647038</v>
      </c>
      <c r="Q206" s="17">
        <f>IFERROR('Option inputs'!$F15*(IF(Scenario_Select="Scenario 1",'CBA Inputs'!P$259-'CBA Inputs'!P260,0)+IF(Scenario_Select="Scenario 2",'CBA Inputs'!P$274-'CBA Inputs'!P275,0)+IF(Scenario_Select="Scenario 3",'CBA Inputs'!P$289-'CBA Inputs'!P290,0)+IF(Scenario_Select="Scenario 4",'CBA Inputs'!P$304-'CBA Inputs'!P305,0)),0)*Q$55</f>
        <v>7290644</v>
      </c>
      <c r="R206" s="17">
        <f>IFERROR('Option inputs'!$F15*(IF(Scenario_Select="Scenario 1",'CBA Inputs'!Q$259-'CBA Inputs'!Q260,0)+IF(Scenario_Select="Scenario 2",'CBA Inputs'!Q$274-'CBA Inputs'!Q275,0)+IF(Scenario_Select="Scenario 3",'CBA Inputs'!Q$289-'CBA Inputs'!Q290,0)+IF(Scenario_Select="Scenario 4",'CBA Inputs'!Q$304-'CBA Inputs'!Q305,0)),0)*R$55</f>
        <v>5667431</v>
      </c>
      <c r="S206" s="17">
        <f>IFERROR('Option inputs'!$F15*(IF(Scenario_Select="Scenario 1",'CBA Inputs'!R$259-'CBA Inputs'!R260,0)+IF(Scenario_Select="Scenario 2",'CBA Inputs'!R$274-'CBA Inputs'!R275,0)+IF(Scenario_Select="Scenario 3",'CBA Inputs'!R$289-'CBA Inputs'!R290,0)+IF(Scenario_Select="Scenario 4",'CBA Inputs'!R$304-'CBA Inputs'!R305,0)),0)*S$55</f>
        <v>1925476</v>
      </c>
      <c r="T206" s="17">
        <f>IFERROR('Option inputs'!$F15*(IF(Scenario_Select="Scenario 1",'CBA Inputs'!S$259-'CBA Inputs'!S260,0)+IF(Scenario_Select="Scenario 2",'CBA Inputs'!S$274-'CBA Inputs'!S275,0)+IF(Scenario_Select="Scenario 3",'CBA Inputs'!S$289-'CBA Inputs'!S290,0)+IF(Scenario_Select="Scenario 4",'CBA Inputs'!S$304-'CBA Inputs'!S305,0)),0)*T$55</f>
        <v>5234107</v>
      </c>
      <c r="U206" s="17">
        <f>IFERROR('Option inputs'!$F15*(IF(Scenario_Select="Scenario 1",'CBA Inputs'!T$259-'CBA Inputs'!T260,0)+IF(Scenario_Select="Scenario 2",'CBA Inputs'!T$274-'CBA Inputs'!T275,0)+IF(Scenario_Select="Scenario 3",'CBA Inputs'!T$289-'CBA Inputs'!T290,0)+IF(Scenario_Select="Scenario 4",'CBA Inputs'!T$304-'CBA Inputs'!T305,0)),0)*U$55</f>
        <v>-687315</v>
      </c>
      <c r="V206" s="17">
        <f>IFERROR('Option inputs'!$F15*(IF(Scenario_Select="Scenario 1",'CBA Inputs'!U$259-'CBA Inputs'!U260,0)+IF(Scenario_Select="Scenario 2",'CBA Inputs'!U$274-'CBA Inputs'!U275,0)+IF(Scenario_Select="Scenario 3",'CBA Inputs'!U$289-'CBA Inputs'!U290,0)+IF(Scenario_Select="Scenario 4",'CBA Inputs'!U$304-'CBA Inputs'!U305,0)),0)*V$55</f>
        <v>1867054</v>
      </c>
      <c r="W206" s="17">
        <f>IFERROR('Option inputs'!$F15*(IF(Scenario_Select="Scenario 1",'CBA Inputs'!V$259-'CBA Inputs'!V260,0)+IF(Scenario_Select="Scenario 2",'CBA Inputs'!V$274-'CBA Inputs'!V275,0)+IF(Scenario_Select="Scenario 3",'CBA Inputs'!V$289-'CBA Inputs'!V290,0)+IF(Scenario_Select="Scenario 4",'CBA Inputs'!V$304-'CBA Inputs'!V305,0)),0)*W$55</f>
        <v>924164</v>
      </c>
      <c r="X206" s="17">
        <f>IFERROR('Option inputs'!$F15*(IF(Scenario_Select="Scenario 1",'CBA Inputs'!W$259-'CBA Inputs'!W260,0)+IF(Scenario_Select="Scenario 2",'CBA Inputs'!W$274-'CBA Inputs'!W275,0)+IF(Scenario_Select="Scenario 3",'CBA Inputs'!W$289-'CBA Inputs'!W290,0)+IF(Scenario_Select="Scenario 4",'CBA Inputs'!W$304-'CBA Inputs'!W305,0)),0)*X$55</f>
        <v>2283082</v>
      </c>
      <c r="Y206" s="17">
        <f>IFERROR('Option inputs'!$F15*(IF(Scenario_Select="Scenario 1",'CBA Inputs'!X$259-'CBA Inputs'!X260,0)+IF(Scenario_Select="Scenario 2",'CBA Inputs'!X$274-'CBA Inputs'!X275,0)+IF(Scenario_Select="Scenario 3",'CBA Inputs'!X$289-'CBA Inputs'!X290,0)+IF(Scenario_Select="Scenario 4",'CBA Inputs'!X$304-'CBA Inputs'!X305,0)),0)*Y$55</f>
        <v>16594793</v>
      </c>
      <c r="Z206" s="17">
        <f>IFERROR('Option inputs'!$F15*(IF(Scenario_Select="Scenario 1",'CBA Inputs'!Y$259-'CBA Inputs'!Y260,0)+IF(Scenario_Select="Scenario 2",'CBA Inputs'!Y$274-'CBA Inputs'!Y275,0)+IF(Scenario_Select="Scenario 3",'CBA Inputs'!Y$289-'CBA Inputs'!Y290,0)+IF(Scenario_Select="Scenario 4",'CBA Inputs'!Y$304-'CBA Inputs'!Y305,0)),0)*Z$55</f>
        <v>-49881</v>
      </c>
      <c r="AA206" s="17">
        <f>IFERROR('Option inputs'!$F15*(IF(Scenario_Select="Scenario 1",'CBA Inputs'!Z$259-'CBA Inputs'!Z260,0)+IF(Scenario_Select="Scenario 2",'CBA Inputs'!Z$274-'CBA Inputs'!Z275,0)+IF(Scenario_Select="Scenario 3",'CBA Inputs'!Z$289-'CBA Inputs'!Z290,0)+IF(Scenario_Select="Scenario 4",'CBA Inputs'!Z$304-'CBA Inputs'!Z305,0)),0)*AA$55</f>
        <v>-28671</v>
      </c>
      <c r="AB206" s="17">
        <f>IFERROR('Option inputs'!$F15*(IF(Scenario_Select="Scenario 1",'CBA Inputs'!AA$259-'CBA Inputs'!AA260,0)+IF(Scenario_Select="Scenario 2",'CBA Inputs'!AA$274-'CBA Inputs'!AA275,0)+IF(Scenario_Select="Scenario 3",'CBA Inputs'!AA$289-'CBA Inputs'!AA290,0)+IF(Scenario_Select="Scenario 4",'CBA Inputs'!AA$304-'CBA Inputs'!AA305,0)),0)*AB$55</f>
        <v>-1375369</v>
      </c>
      <c r="AC206" s="17">
        <f>IFERROR('Option inputs'!$F15*(IF(Scenario_Select="Scenario 1",'CBA Inputs'!AB$259-'CBA Inputs'!AB260,0)+IF(Scenario_Select="Scenario 2",'CBA Inputs'!AB$274-'CBA Inputs'!AB275,0)+IF(Scenario_Select="Scenario 3",'CBA Inputs'!AB$289-'CBA Inputs'!AB290,0)+IF(Scenario_Select="Scenario 4",'CBA Inputs'!AB$304-'CBA Inputs'!AB305,0)),0)*AC$55</f>
        <v>2191675</v>
      </c>
      <c r="AD206" s="17">
        <f>IFERROR('Option inputs'!$F15*(IF(Scenario_Select="Scenario 1",'CBA Inputs'!AC$259-'CBA Inputs'!AC260,0)+IF(Scenario_Select="Scenario 2",'CBA Inputs'!AC$274-'CBA Inputs'!AC275,0)+IF(Scenario_Select="Scenario 3",'CBA Inputs'!AC$289-'CBA Inputs'!AC290,0)+IF(Scenario_Select="Scenario 4",'CBA Inputs'!AC$304-'CBA Inputs'!AC305,0)),0)*AD$55</f>
        <v>-682</v>
      </c>
      <c r="AE206" s="17">
        <f>IFERROR('Option inputs'!$F15*(IF(Scenario_Select="Scenario 1",'CBA Inputs'!AD$259-'CBA Inputs'!AD260,0)+IF(Scenario_Select="Scenario 2",'CBA Inputs'!AD$274-'CBA Inputs'!AD275,0)+IF(Scenario_Select="Scenario 3",'CBA Inputs'!AD$289-'CBA Inputs'!AD290,0)+IF(Scenario_Select="Scenario 4",'CBA Inputs'!AD$304-'CBA Inputs'!AD305,0)),0)*AE$55</f>
        <v>4638990</v>
      </c>
      <c r="AF206" s="17">
        <f>IFERROR('Option inputs'!$F15*(IF(Scenario_Select="Scenario 1",'CBA Inputs'!AE$259-'CBA Inputs'!AE260,0)+IF(Scenario_Select="Scenario 2",'CBA Inputs'!AE$274-'CBA Inputs'!AE275,0)+IF(Scenario_Select="Scenario 3",'CBA Inputs'!AE$289-'CBA Inputs'!AE290,0)+IF(Scenario_Select="Scenario 4",'CBA Inputs'!AE$304-'CBA Inputs'!AE305,0)),0)*AF$55</f>
        <v>-2729191</v>
      </c>
      <c r="AG206" s="17">
        <f>IFERROR('Option inputs'!$F15*(IF(Scenario_Select="Scenario 1",'CBA Inputs'!AF$259-'CBA Inputs'!AF260,0)+IF(Scenario_Select="Scenario 2",'CBA Inputs'!AF$274-'CBA Inputs'!AF275,0)+IF(Scenario_Select="Scenario 3",'CBA Inputs'!AF$289-'CBA Inputs'!AF290,0)+IF(Scenario_Select="Scenario 4",'CBA Inputs'!AF$304-'CBA Inputs'!AF305,0)),0)*AG$55</f>
        <v>0</v>
      </c>
      <c r="AH206" s="17">
        <f>IFERROR('Option inputs'!$F15*(IF(Scenario_Select="Scenario 1",'CBA Inputs'!AG$259-'CBA Inputs'!AG260,0)+IF(Scenario_Select="Scenario 2",'CBA Inputs'!AG$274-'CBA Inputs'!AG275,0)+IF(Scenario_Select="Scenario 3",'CBA Inputs'!AG$289-'CBA Inputs'!AG290,0)+IF(Scenario_Select="Scenario 4",'CBA Inputs'!AG$304-'CBA Inputs'!AG305,0)),0)*AH$55</f>
        <v>0</v>
      </c>
      <c r="AI206" s="17">
        <f>IFERROR('Option inputs'!$F15*(IF(Scenario_Select="Scenario 1",'CBA Inputs'!AH$259-'CBA Inputs'!AH260,0)+IF(Scenario_Select="Scenario 2",'CBA Inputs'!AH$274-'CBA Inputs'!AH275,0)+IF(Scenario_Select="Scenario 3",'CBA Inputs'!AH$289-'CBA Inputs'!AH290,0)+IF(Scenario_Select="Scenario 4",'CBA Inputs'!AH$304-'CBA Inputs'!AH305,0)),0)*AI$55</f>
        <v>0</v>
      </c>
      <c r="AJ206" s="17">
        <f>IFERROR('Option inputs'!$F15*(IF(Scenario_Select="Scenario 1",'CBA Inputs'!AI$259-'CBA Inputs'!AI260,0)+IF(Scenario_Select="Scenario 2",'CBA Inputs'!AI$274-'CBA Inputs'!AI275,0)+IF(Scenario_Select="Scenario 3",'CBA Inputs'!AI$289-'CBA Inputs'!AI290,0)+IF(Scenario_Select="Scenario 4",'CBA Inputs'!AI$304-'CBA Inputs'!AI305,0)),0)*AJ$55</f>
        <v>0</v>
      </c>
    </row>
    <row r="207" spans="2:36" x14ac:dyDescent="0.35">
      <c r="B207" s="9">
        <f>'Option inputs'!B16</f>
        <v>2</v>
      </c>
      <c r="C207" s="14" t="str">
        <f>+'Option inputs'!C16</f>
        <v>Option 1B</v>
      </c>
      <c r="D207" s="26"/>
      <c r="E207" s="12" t="s">
        <v>35</v>
      </c>
      <c r="F207" s="18">
        <f t="shared" si="49"/>
        <v>55055491.445209473</v>
      </c>
      <c r="G207" s="17">
        <f>IFERROR('Option inputs'!$F16*(IF(Scenario_Select="Scenario 1",'CBA Inputs'!F$259-'CBA Inputs'!F261,0)+IF(Scenario_Select="Scenario 2",'CBA Inputs'!F$274-'CBA Inputs'!F276,0)+IF(Scenario_Select="Scenario 3",'CBA Inputs'!F$289-'CBA Inputs'!F291,0)+IF(Scenario_Select="Scenario 4",'CBA Inputs'!F$304-'CBA Inputs'!F306,0)),0)*G$55</f>
        <v>0</v>
      </c>
      <c r="H207" s="17">
        <f>IFERROR('Option inputs'!$F16*(IF(Scenario_Select="Scenario 1",'CBA Inputs'!G$259-'CBA Inputs'!G261,0)+IF(Scenario_Select="Scenario 2",'CBA Inputs'!G$274-'CBA Inputs'!G276,0)+IF(Scenario_Select="Scenario 3",'CBA Inputs'!G$289-'CBA Inputs'!G291,0)+IF(Scenario_Select="Scenario 4",'CBA Inputs'!G$304-'CBA Inputs'!G306,0)),0)*H$55</f>
        <v>2553</v>
      </c>
      <c r="I207" s="17">
        <f>IFERROR('Option inputs'!$F16*(IF(Scenario_Select="Scenario 1",'CBA Inputs'!H$259-'CBA Inputs'!H261,0)+IF(Scenario_Select="Scenario 2",'CBA Inputs'!H$274-'CBA Inputs'!H276,0)+IF(Scenario_Select="Scenario 3",'CBA Inputs'!H$289-'CBA Inputs'!H291,0)+IF(Scenario_Select="Scenario 4",'CBA Inputs'!H$304-'CBA Inputs'!H306,0)),0)*I$55</f>
        <v>2717</v>
      </c>
      <c r="J207" s="17">
        <f>IFERROR('Option inputs'!$F16*(IF(Scenario_Select="Scenario 1",'CBA Inputs'!I$259-'CBA Inputs'!I261,0)+IF(Scenario_Select="Scenario 2",'CBA Inputs'!I$274-'CBA Inputs'!I276,0)+IF(Scenario_Select="Scenario 3",'CBA Inputs'!I$289-'CBA Inputs'!I291,0)+IF(Scenario_Select="Scenario 4",'CBA Inputs'!I$304-'CBA Inputs'!I306,0)),0)*J$55</f>
        <v>2697</v>
      </c>
      <c r="K207" s="17">
        <f>IFERROR('Option inputs'!$F16*(IF(Scenario_Select="Scenario 1",'CBA Inputs'!J$259-'CBA Inputs'!J261,0)+IF(Scenario_Select="Scenario 2",'CBA Inputs'!J$274-'CBA Inputs'!J276,0)+IF(Scenario_Select="Scenario 3",'CBA Inputs'!J$289-'CBA Inputs'!J291,0)+IF(Scenario_Select="Scenario 4",'CBA Inputs'!J$304-'CBA Inputs'!J306,0)),0)*K$55</f>
        <v>-3179433</v>
      </c>
      <c r="L207" s="17">
        <f>IFERROR('Option inputs'!$F16*(IF(Scenario_Select="Scenario 1",'CBA Inputs'!K$259-'CBA Inputs'!K261,0)+IF(Scenario_Select="Scenario 2",'CBA Inputs'!K$274-'CBA Inputs'!K276,0)+IF(Scenario_Select="Scenario 3",'CBA Inputs'!K$289-'CBA Inputs'!K291,0)+IF(Scenario_Select="Scenario 4",'CBA Inputs'!K$304-'CBA Inputs'!K306,0)),0)*L$55</f>
        <v>-9151554</v>
      </c>
      <c r="M207" s="17">
        <f>IFERROR('Option inputs'!$F16*(IF(Scenario_Select="Scenario 1",'CBA Inputs'!L$259-'CBA Inputs'!L261,0)+IF(Scenario_Select="Scenario 2",'CBA Inputs'!L$274-'CBA Inputs'!L276,0)+IF(Scenario_Select="Scenario 3",'CBA Inputs'!L$289-'CBA Inputs'!L291,0)+IF(Scenario_Select="Scenario 4",'CBA Inputs'!L$304-'CBA Inputs'!L306,0)),0)*M$55</f>
        <v>123048</v>
      </c>
      <c r="N207" s="17">
        <f>IFERROR('Option inputs'!$F16*(IF(Scenario_Select="Scenario 1",'CBA Inputs'!M$259-'CBA Inputs'!M261,0)+IF(Scenario_Select="Scenario 2",'CBA Inputs'!M$274-'CBA Inputs'!M276,0)+IF(Scenario_Select="Scenario 3",'CBA Inputs'!M$289-'CBA Inputs'!M291,0)+IF(Scenario_Select="Scenario 4",'CBA Inputs'!M$304-'CBA Inputs'!M306,0)),0)*N$55</f>
        <v>13269582</v>
      </c>
      <c r="O207" s="17">
        <f>IFERROR('Option inputs'!$F16*(IF(Scenario_Select="Scenario 1",'CBA Inputs'!N$259-'CBA Inputs'!N261,0)+IF(Scenario_Select="Scenario 2",'CBA Inputs'!N$274-'CBA Inputs'!N276,0)+IF(Scenario_Select="Scenario 3",'CBA Inputs'!N$289-'CBA Inputs'!N291,0)+IF(Scenario_Select="Scenario 4",'CBA Inputs'!N$304-'CBA Inputs'!N306,0)),0)*O$55</f>
        <v>224375</v>
      </c>
      <c r="P207" s="17">
        <f>IFERROR('Option inputs'!$F16*(IF(Scenario_Select="Scenario 1",'CBA Inputs'!O$259-'CBA Inputs'!O261,0)+IF(Scenario_Select="Scenario 2",'CBA Inputs'!O$274-'CBA Inputs'!O276,0)+IF(Scenario_Select="Scenario 3",'CBA Inputs'!O$289-'CBA Inputs'!O291,0)+IF(Scenario_Select="Scenario 4",'CBA Inputs'!O$304-'CBA Inputs'!O306,0)),0)*P$55</f>
        <v>11177603</v>
      </c>
      <c r="Q207" s="17">
        <f>IFERROR('Option inputs'!$F16*(IF(Scenario_Select="Scenario 1",'CBA Inputs'!P$259-'CBA Inputs'!P261,0)+IF(Scenario_Select="Scenario 2",'CBA Inputs'!P$274-'CBA Inputs'!P276,0)+IF(Scenario_Select="Scenario 3",'CBA Inputs'!P$289-'CBA Inputs'!P291,0)+IF(Scenario_Select="Scenario 4",'CBA Inputs'!P$304-'CBA Inputs'!P306,0)),0)*Q$55</f>
        <v>19949130</v>
      </c>
      <c r="R207" s="17">
        <f>IFERROR('Option inputs'!$F16*(IF(Scenario_Select="Scenario 1",'CBA Inputs'!Q$259-'CBA Inputs'!Q261,0)+IF(Scenario_Select="Scenario 2",'CBA Inputs'!Q$274-'CBA Inputs'!Q276,0)+IF(Scenario_Select="Scenario 3",'CBA Inputs'!Q$289-'CBA Inputs'!Q291,0)+IF(Scenario_Select="Scenario 4",'CBA Inputs'!Q$304-'CBA Inputs'!Q306,0)),0)*R$55</f>
        <v>6836462</v>
      </c>
      <c r="S207" s="17">
        <f>IFERROR('Option inputs'!$F16*(IF(Scenario_Select="Scenario 1",'CBA Inputs'!R$259-'CBA Inputs'!R261,0)+IF(Scenario_Select="Scenario 2",'CBA Inputs'!R$274-'CBA Inputs'!R276,0)+IF(Scenario_Select="Scenario 3",'CBA Inputs'!R$289-'CBA Inputs'!R291,0)+IF(Scenario_Select="Scenario 4",'CBA Inputs'!R$304-'CBA Inputs'!R306,0)),0)*S$55</f>
        <v>4048866</v>
      </c>
      <c r="T207" s="17">
        <f>IFERROR('Option inputs'!$F16*(IF(Scenario_Select="Scenario 1",'CBA Inputs'!S$259-'CBA Inputs'!S261,0)+IF(Scenario_Select="Scenario 2",'CBA Inputs'!S$274-'CBA Inputs'!S276,0)+IF(Scenario_Select="Scenario 3",'CBA Inputs'!S$289-'CBA Inputs'!S291,0)+IF(Scenario_Select="Scenario 4",'CBA Inputs'!S$304-'CBA Inputs'!S306,0)),0)*T$55</f>
        <v>9029985</v>
      </c>
      <c r="U207" s="17">
        <f>IFERROR('Option inputs'!$F16*(IF(Scenario_Select="Scenario 1",'CBA Inputs'!T$259-'CBA Inputs'!T261,0)+IF(Scenario_Select="Scenario 2",'CBA Inputs'!T$274-'CBA Inputs'!T276,0)+IF(Scenario_Select="Scenario 3",'CBA Inputs'!T$289-'CBA Inputs'!T291,0)+IF(Scenario_Select="Scenario 4",'CBA Inputs'!T$304-'CBA Inputs'!T306,0)),0)*U$55</f>
        <v>190982</v>
      </c>
      <c r="V207" s="17">
        <f>IFERROR('Option inputs'!$F16*(IF(Scenario_Select="Scenario 1",'CBA Inputs'!U$259-'CBA Inputs'!U261,0)+IF(Scenario_Select="Scenario 2",'CBA Inputs'!U$274-'CBA Inputs'!U276,0)+IF(Scenario_Select="Scenario 3",'CBA Inputs'!U$289-'CBA Inputs'!U291,0)+IF(Scenario_Select="Scenario 4",'CBA Inputs'!U$304-'CBA Inputs'!U306,0)),0)*V$55</f>
        <v>7838802</v>
      </c>
      <c r="W207" s="17">
        <f>IFERROR('Option inputs'!$F16*(IF(Scenario_Select="Scenario 1",'CBA Inputs'!V$259-'CBA Inputs'!V261,0)+IF(Scenario_Select="Scenario 2",'CBA Inputs'!V$274-'CBA Inputs'!V276,0)+IF(Scenario_Select="Scenario 3",'CBA Inputs'!V$289-'CBA Inputs'!V291,0)+IF(Scenario_Select="Scenario 4",'CBA Inputs'!V$304-'CBA Inputs'!V306,0)),0)*W$55</f>
        <v>7709393</v>
      </c>
      <c r="X207" s="17">
        <f>IFERROR('Option inputs'!$F16*(IF(Scenario_Select="Scenario 1",'CBA Inputs'!W$259-'CBA Inputs'!W261,0)+IF(Scenario_Select="Scenario 2",'CBA Inputs'!W$274-'CBA Inputs'!W276,0)+IF(Scenario_Select="Scenario 3",'CBA Inputs'!W$289-'CBA Inputs'!W291,0)+IF(Scenario_Select="Scenario 4",'CBA Inputs'!W$304-'CBA Inputs'!W306,0)),0)*X$55</f>
        <v>9652956</v>
      </c>
      <c r="Y207" s="17">
        <f>IFERROR('Option inputs'!$F16*(IF(Scenario_Select="Scenario 1",'CBA Inputs'!X$259-'CBA Inputs'!X261,0)+IF(Scenario_Select="Scenario 2",'CBA Inputs'!X$274-'CBA Inputs'!X276,0)+IF(Scenario_Select="Scenario 3",'CBA Inputs'!X$289-'CBA Inputs'!X291,0)+IF(Scenario_Select="Scenario 4",'CBA Inputs'!X$304-'CBA Inputs'!X306,0)),0)*Y$55</f>
        <v>45915762</v>
      </c>
      <c r="Z207" s="17">
        <f>IFERROR('Option inputs'!$F16*(IF(Scenario_Select="Scenario 1",'CBA Inputs'!Y$259-'CBA Inputs'!Y261,0)+IF(Scenario_Select="Scenario 2",'CBA Inputs'!Y$274-'CBA Inputs'!Y276,0)+IF(Scenario_Select="Scenario 3",'CBA Inputs'!Y$289-'CBA Inputs'!Y291,0)+IF(Scenario_Select="Scenario 4",'CBA Inputs'!Y$304-'CBA Inputs'!Y306,0)),0)*Z$55</f>
        <v>-75954</v>
      </c>
      <c r="AA207" s="17">
        <f>IFERROR('Option inputs'!$F16*(IF(Scenario_Select="Scenario 1",'CBA Inputs'!Z$259-'CBA Inputs'!Z261,0)+IF(Scenario_Select="Scenario 2",'CBA Inputs'!Z$274-'CBA Inputs'!Z276,0)+IF(Scenario_Select="Scenario 3",'CBA Inputs'!Z$289-'CBA Inputs'!Z291,0)+IF(Scenario_Select="Scenario 4",'CBA Inputs'!Z$304-'CBA Inputs'!Z306,0)),0)*AA$55</f>
        <v>-568698</v>
      </c>
      <c r="AB207" s="17">
        <f>IFERROR('Option inputs'!$F16*(IF(Scenario_Select="Scenario 1",'CBA Inputs'!AA$259-'CBA Inputs'!AA261,0)+IF(Scenario_Select="Scenario 2",'CBA Inputs'!AA$274-'CBA Inputs'!AA276,0)+IF(Scenario_Select="Scenario 3",'CBA Inputs'!AA$289-'CBA Inputs'!AA291,0)+IF(Scenario_Select="Scenario 4",'CBA Inputs'!AA$304-'CBA Inputs'!AA306,0)),0)*AB$55</f>
        <v>-6495631</v>
      </c>
      <c r="AC207" s="17">
        <f>IFERROR('Option inputs'!$F16*(IF(Scenario_Select="Scenario 1",'CBA Inputs'!AB$259-'CBA Inputs'!AB261,0)+IF(Scenario_Select="Scenario 2",'CBA Inputs'!AB$274-'CBA Inputs'!AB276,0)+IF(Scenario_Select="Scenario 3",'CBA Inputs'!AB$289-'CBA Inputs'!AB291,0)+IF(Scenario_Select="Scenario 4",'CBA Inputs'!AB$304-'CBA Inputs'!AB306,0)),0)*AC$55</f>
        <v>3514005</v>
      </c>
      <c r="AD207" s="17">
        <f>IFERROR('Option inputs'!$F16*(IF(Scenario_Select="Scenario 1",'CBA Inputs'!AC$259-'CBA Inputs'!AC261,0)+IF(Scenario_Select="Scenario 2",'CBA Inputs'!AC$274-'CBA Inputs'!AC276,0)+IF(Scenario_Select="Scenario 3",'CBA Inputs'!AC$289-'CBA Inputs'!AC291,0)+IF(Scenario_Select="Scenario 4",'CBA Inputs'!AC$304-'CBA Inputs'!AC306,0)),0)*AD$55</f>
        <v>895364</v>
      </c>
      <c r="AE207" s="17">
        <f>IFERROR('Option inputs'!$F16*(IF(Scenario_Select="Scenario 1",'CBA Inputs'!AD$259-'CBA Inputs'!AD261,0)+IF(Scenario_Select="Scenario 2",'CBA Inputs'!AD$274-'CBA Inputs'!AD276,0)+IF(Scenario_Select="Scenario 3",'CBA Inputs'!AD$289-'CBA Inputs'!AD291,0)+IF(Scenario_Select="Scenario 4",'CBA Inputs'!AD$304-'CBA Inputs'!AD306,0)),0)*AE$55</f>
        <v>9750097</v>
      </c>
      <c r="AF207" s="17">
        <f>IFERROR('Option inputs'!$F16*(IF(Scenario_Select="Scenario 1",'CBA Inputs'!AE$259-'CBA Inputs'!AE261,0)+IF(Scenario_Select="Scenario 2",'CBA Inputs'!AE$274-'CBA Inputs'!AE276,0)+IF(Scenario_Select="Scenario 3",'CBA Inputs'!AE$289-'CBA Inputs'!AE291,0)+IF(Scenario_Select="Scenario 4",'CBA Inputs'!AE$304-'CBA Inputs'!AE306,0)),0)*AF$55</f>
        <v>-2409115</v>
      </c>
      <c r="AG207" s="17">
        <f>IFERROR('Option inputs'!$F16*(IF(Scenario_Select="Scenario 1",'CBA Inputs'!AF$259-'CBA Inputs'!AF261,0)+IF(Scenario_Select="Scenario 2",'CBA Inputs'!AF$274-'CBA Inputs'!AF276,0)+IF(Scenario_Select="Scenario 3",'CBA Inputs'!AF$289-'CBA Inputs'!AF291,0)+IF(Scenario_Select="Scenario 4",'CBA Inputs'!AF$304-'CBA Inputs'!AF306,0)),0)*AG$55</f>
        <v>0</v>
      </c>
      <c r="AH207" s="17">
        <f>IFERROR('Option inputs'!$F16*(IF(Scenario_Select="Scenario 1",'CBA Inputs'!AG$259-'CBA Inputs'!AG261,0)+IF(Scenario_Select="Scenario 2",'CBA Inputs'!AG$274-'CBA Inputs'!AG276,0)+IF(Scenario_Select="Scenario 3",'CBA Inputs'!AG$289-'CBA Inputs'!AG291,0)+IF(Scenario_Select="Scenario 4",'CBA Inputs'!AG$304-'CBA Inputs'!AG306,0)),0)*AH$55</f>
        <v>0</v>
      </c>
      <c r="AI207" s="17">
        <f>IFERROR('Option inputs'!$F16*(IF(Scenario_Select="Scenario 1",'CBA Inputs'!AH$259-'CBA Inputs'!AH261,0)+IF(Scenario_Select="Scenario 2",'CBA Inputs'!AH$274-'CBA Inputs'!AH276,0)+IF(Scenario_Select="Scenario 3",'CBA Inputs'!AH$289-'CBA Inputs'!AH291,0)+IF(Scenario_Select="Scenario 4",'CBA Inputs'!AH$304-'CBA Inputs'!AH306,0)),0)*AI$55</f>
        <v>0</v>
      </c>
      <c r="AJ207" s="17">
        <f>IFERROR('Option inputs'!$F16*(IF(Scenario_Select="Scenario 1",'CBA Inputs'!AI$259-'CBA Inputs'!AI261,0)+IF(Scenario_Select="Scenario 2",'CBA Inputs'!AI$274-'CBA Inputs'!AI276,0)+IF(Scenario_Select="Scenario 3",'CBA Inputs'!AI$289-'CBA Inputs'!AI291,0)+IF(Scenario_Select="Scenario 4",'CBA Inputs'!AI$304-'CBA Inputs'!AI306,0)),0)*AJ$55</f>
        <v>0</v>
      </c>
    </row>
    <row r="208" spans="2:36" x14ac:dyDescent="0.35">
      <c r="B208" s="9">
        <f>'Option inputs'!B17</f>
        <v>3</v>
      </c>
      <c r="C208" s="14" t="str">
        <f>+'Option inputs'!C17</f>
        <v>Option 1C</v>
      </c>
      <c r="D208" s="26"/>
      <c r="E208" s="12" t="s">
        <v>35</v>
      </c>
      <c r="F208" s="18">
        <f t="shared" si="49"/>
        <v>59214461.754799746</v>
      </c>
      <c r="G208" s="17">
        <f>IFERROR('Option inputs'!$F17*(IF(Scenario_Select="Scenario 1",'CBA Inputs'!F$259-'CBA Inputs'!F262,0)+IF(Scenario_Select="Scenario 2",'CBA Inputs'!F$274-'CBA Inputs'!F277,0)+IF(Scenario_Select="Scenario 3",'CBA Inputs'!F$289-'CBA Inputs'!F292,0)+IF(Scenario_Select="Scenario 4",'CBA Inputs'!F$304-'CBA Inputs'!F307,0)),0)*G$55</f>
        <v>0</v>
      </c>
      <c r="H208" s="17">
        <f>IFERROR('Option inputs'!$F17*(IF(Scenario_Select="Scenario 1",'CBA Inputs'!G$259-'CBA Inputs'!G262,0)+IF(Scenario_Select="Scenario 2",'CBA Inputs'!G$274-'CBA Inputs'!G277,0)+IF(Scenario_Select="Scenario 3",'CBA Inputs'!G$289-'CBA Inputs'!G292,0)+IF(Scenario_Select="Scenario 4",'CBA Inputs'!G$304-'CBA Inputs'!G307,0)),0)*H$55</f>
        <v>331</v>
      </c>
      <c r="I208" s="17">
        <f>IFERROR('Option inputs'!$F17*(IF(Scenario_Select="Scenario 1",'CBA Inputs'!H$259-'CBA Inputs'!H262,0)+IF(Scenario_Select="Scenario 2",'CBA Inputs'!H$274-'CBA Inputs'!H277,0)+IF(Scenario_Select="Scenario 3",'CBA Inputs'!H$289-'CBA Inputs'!H292,0)+IF(Scenario_Select="Scenario 4",'CBA Inputs'!H$304-'CBA Inputs'!H307,0)),0)*I$55</f>
        <v>363</v>
      </c>
      <c r="J208" s="17">
        <f>IFERROR('Option inputs'!$F17*(IF(Scenario_Select="Scenario 1",'CBA Inputs'!I$259-'CBA Inputs'!I262,0)+IF(Scenario_Select="Scenario 2",'CBA Inputs'!I$274-'CBA Inputs'!I277,0)+IF(Scenario_Select="Scenario 3",'CBA Inputs'!I$289-'CBA Inputs'!I292,0)+IF(Scenario_Select="Scenario 4",'CBA Inputs'!I$304-'CBA Inputs'!I307,0)),0)*J$55</f>
        <v>327</v>
      </c>
      <c r="K208" s="17">
        <f>IFERROR('Option inputs'!$F17*(IF(Scenario_Select="Scenario 1",'CBA Inputs'!J$259-'CBA Inputs'!J262,0)+IF(Scenario_Select="Scenario 2",'CBA Inputs'!J$274-'CBA Inputs'!J277,0)+IF(Scenario_Select="Scenario 3",'CBA Inputs'!J$289-'CBA Inputs'!J292,0)+IF(Scenario_Select="Scenario 4",'CBA Inputs'!J$304-'CBA Inputs'!J307,0)),0)*K$55</f>
        <v>-370208</v>
      </c>
      <c r="L208" s="17">
        <f>IFERROR('Option inputs'!$F17*(IF(Scenario_Select="Scenario 1",'CBA Inputs'!K$259-'CBA Inputs'!K262,0)+IF(Scenario_Select="Scenario 2",'CBA Inputs'!K$274-'CBA Inputs'!K277,0)+IF(Scenario_Select="Scenario 3",'CBA Inputs'!K$289-'CBA Inputs'!K292,0)+IF(Scenario_Select="Scenario 4",'CBA Inputs'!K$304-'CBA Inputs'!K307,0)),0)*L$55</f>
        <v>-15016854</v>
      </c>
      <c r="M208" s="17">
        <f>IFERROR('Option inputs'!$F17*(IF(Scenario_Select="Scenario 1",'CBA Inputs'!L$259-'CBA Inputs'!L262,0)+IF(Scenario_Select="Scenario 2",'CBA Inputs'!L$274-'CBA Inputs'!L277,0)+IF(Scenario_Select="Scenario 3",'CBA Inputs'!L$289-'CBA Inputs'!L292,0)+IF(Scenario_Select="Scenario 4",'CBA Inputs'!L$304-'CBA Inputs'!L307,0)),0)*M$55</f>
        <v>120053</v>
      </c>
      <c r="N208" s="17">
        <f>IFERROR('Option inputs'!$F17*(IF(Scenario_Select="Scenario 1",'CBA Inputs'!M$259-'CBA Inputs'!M262,0)+IF(Scenario_Select="Scenario 2",'CBA Inputs'!M$274-'CBA Inputs'!M277,0)+IF(Scenario_Select="Scenario 3",'CBA Inputs'!M$289-'CBA Inputs'!M292,0)+IF(Scenario_Select="Scenario 4",'CBA Inputs'!M$304-'CBA Inputs'!M307,0)),0)*N$55</f>
        <v>15086589</v>
      </c>
      <c r="O208" s="17">
        <f>IFERROR('Option inputs'!$F17*(IF(Scenario_Select="Scenario 1",'CBA Inputs'!N$259-'CBA Inputs'!N262,0)+IF(Scenario_Select="Scenario 2",'CBA Inputs'!N$274-'CBA Inputs'!N277,0)+IF(Scenario_Select="Scenario 3",'CBA Inputs'!N$289-'CBA Inputs'!N292,0)+IF(Scenario_Select="Scenario 4",'CBA Inputs'!N$304-'CBA Inputs'!N307,0)),0)*O$55</f>
        <v>221049</v>
      </c>
      <c r="P208" s="17">
        <f>IFERROR('Option inputs'!$F17*(IF(Scenario_Select="Scenario 1",'CBA Inputs'!O$259-'CBA Inputs'!O262,0)+IF(Scenario_Select="Scenario 2",'CBA Inputs'!O$274-'CBA Inputs'!O277,0)+IF(Scenario_Select="Scenario 3",'CBA Inputs'!O$289-'CBA Inputs'!O292,0)+IF(Scenario_Select="Scenario 4",'CBA Inputs'!O$304-'CBA Inputs'!O307,0)),0)*P$55</f>
        <v>19455234</v>
      </c>
      <c r="Q208" s="17">
        <f>IFERROR('Option inputs'!$F17*(IF(Scenario_Select="Scenario 1",'CBA Inputs'!P$259-'CBA Inputs'!P262,0)+IF(Scenario_Select="Scenario 2",'CBA Inputs'!P$274-'CBA Inputs'!P277,0)+IF(Scenario_Select="Scenario 3",'CBA Inputs'!P$289-'CBA Inputs'!P292,0)+IF(Scenario_Select="Scenario 4",'CBA Inputs'!P$304-'CBA Inputs'!P307,0)),0)*Q$55</f>
        <v>20308028</v>
      </c>
      <c r="R208" s="17">
        <f>IFERROR('Option inputs'!$F17*(IF(Scenario_Select="Scenario 1",'CBA Inputs'!Q$259-'CBA Inputs'!Q262,0)+IF(Scenario_Select="Scenario 2",'CBA Inputs'!Q$274-'CBA Inputs'!Q277,0)+IF(Scenario_Select="Scenario 3",'CBA Inputs'!Q$289-'CBA Inputs'!Q292,0)+IF(Scenario_Select="Scenario 4",'CBA Inputs'!Q$304-'CBA Inputs'!Q307,0)),0)*R$55</f>
        <v>6832481</v>
      </c>
      <c r="S208" s="17">
        <f>IFERROR('Option inputs'!$F17*(IF(Scenario_Select="Scenario 1",'CBA Inputs'!R$259-'CBA Inputs'!R262,0)+IF(Scenario_Select="Scenario 2",'CBA Inputs'!R$274-'CBA Inputs'!R277,0)+IF(Scenario_Select="Scenario 3",'CBA Inputs'!R$289-'CBA Inputs'!R292,0)+IF(Scenario_Select="Scenario 4",'CBA Inputs'!R$304-'CBA Inputs'!R307,0)),0)*S$55</f>
        <v>4044605</v>
      </c>
      <c r="T208" s="17">
        <f>IFERROR('Option inputs'!$F17*(IF(Scenario_Select="Scenario 1",'CBA Inputs'!S$259-'CBA Inputs'!S262,0)+IF(Scenario_Select="Scenario 2",'CBA Inputs'!S$274-'CBA Inputs'!S277,0)+IF(Scenario_Select="Scenario 3",'CBA Inputs'!S$289-'CBA Inputs'!S292,0)+IF(Scenario_Select="Scenario 4",'CBA Inputs'!S$304-'CBA Inputs'!S307,0)),0)*T$55</f>
        <v>9024703</v>
      </c>
      <c r="U208" s="17">
        <f>IFERROR('Option inputs'!$F17*(IF(Scenario_Select="Scenario 1",'CBA Inputs'!T$259-'CBA Inputs'!T262,0)+IF(Scenario_Select="Scenario 2",'CBA Inputs'!T$274-'CBA Inputs'!T277,0)+IF(Scenario_Select="Scenario 3",'CBA Inputs'!T$289-'CBA Inputs'!T292,0)+IF(Scenario_Select="Scenario 4",'CBA Inputs'!T$304-'CBA Inputs'!T307,0)),0)*U$55</f>
        <v>189309</v>
      </c>
      <c r="V208" s="17">
        <f>IFERROR('Option inputs'!$F17*(IF(Scenario_Select="Scenario 1",'CBA Inputs'!U$259-'CBA Inputs'!U262,0)+IF(Scenario_Select="Scenario 2",'CBA Inputs'!U$274-'CBA Inputs'!U277,0)+IF(Scenario_Select="Scenario 3",'CBA Inputs'!U$289-'CBA Inputs'!U292,0)+IF(Scenario_Select="Scenario 4",'CBA Inputs'!U$304-'CBA Inputs'!U307,0)),0)*V$55</f>
        <v>7839986</v>
      </c>
      <c r="W208" s="17">
        <f>IFERROR('Option inputs'!$F17*(IF(Scenario_Select="Scenario 1",'CBA Inputs'!V$259-'CBA Inputs'!V262,0)+IF(Scenario_Select="Scenario 2",'CBA Inputs'!V$274-'CBA Inputs'!V277,0)+IF(Scenario_Select="Scenario 3",'CBA Inputs'!V$289-'CBA Inputs'!V292,0)+IF(Scenario_Select="Scenario 4",'CBA Inputs'!V$304-'CBA Inputs'!V307,0)),0)*W$55</f>
        <v>7699241</v>
      </c>
      <c r="X208" s="17">
        <f>IFERROR('Option inputs'!$F17*(IF(Scenario_Select="Scenario 1",'CBA Inputs'!W$259-'CBA Inputs'!W262,0)+IF(Scenario_Select="Scenario 2",'CBA Inputs'!W$274-'CBA Inputs'!W277,0)+IF(Scenario_Select="Scenario 3",'CBA Inputs'!W$289-'CBA Inputs'!W292,0)+IF(Scenario_Select="Scenario 4",'CBA Inputs'!W$304-'CBA Inputs'!W307,0)),0)*X$55</f>
        <v>9656327</v>
      </c>
      <c r="Y208" s="17">
        <f>IFERROR('Option inputs'!$F17*(IF(Scenario_Select="Scenario 1",'CBA Inputs'!X$259-'CBA Inputs'!X262,0)+IF(Scenario_Select="Scenario 2",'CBA Inputs'!X$274-'CBA Inputs'!X277,0)+IF(Scenario_Select="Scenario 3",'CBA Inputs'!X$289-'CBA Inputs'!X292,0)+IF(Scenario_Select="Scenario 4",'CBA Inputs'!X$304-'CBA Inputs'!X307,0)),0)*Y$55</f>
        <v>45926792</v>
      </c>
      <c r="Z208" s="17">
        <f>IFERROR('Option inputs'!$F17*(IF(Scenario_Select="Scenario 1",'CBA Inputs'!Y$259-'CBA Inputs'!Y262,0)+IF(Scenario_Select="Scenario 2",'CBA Inputs'!Y$274-'CBA Inputs'!Y277,0)+IF(Scenario_Select="Scenario 3",'CBA Inputs'!Y$289-'CBA Inputs'!Y292,0)+IF(Scenario_Select="Scenario 4",'CBA Inputs'!Y$304-'CBA Inputs'!Y307,0)),0)*Z$55</f>
        <v>-82289</v>
      </c>
      <c r="AA208" s="17">
        <f>IFERROR('Option inputs'!$F17*(IF(Scenario_Select="Scenario 1",'CBA Inputs'!Z$259-'CBA Inputs'!Z262,0)+IF(Scenario_Select="Scenario 2",'CBA Inputs'!Z$274-'CBA Inputs'!Z277,0)+IF(Scenario_Select="Scenario 3",'CBA Inputs'!Z$289-'CBA Inputs'!Z292,0)+IF(Scenario_Select="Scenario 4",'CBA Inputs'!Z$304-'CBA Inputs'!Z307,0)),0)*AA$55</f>
        <v>-575723</v>
      </c>
      <c r="AB208" s="17">
        <f>IFERROR('Option inputs'!$F17*(IF(Scenario_Select="Scenario 1",'CBA Inputs'!AA$259-'CBA Inputs'!AA262,0)+IF(Scenario_Select="Scenario 2",'CBA Inputs'!AA$274-'CBA Inputs'!AA277,0)+IF(Scenario_Select="Scenario 3",'CBA Inputs'!AA$289-'CBA Inputs'!AA292,0)+IF(Scenario_Select="Scenario 4",'CBA Inputs'!AA$304-'CBA Inputs'!AA307,0)),0)*AB$55</f>
        <v>-6501965</v>
      </c>
      <c r="AC208" s="17">
        <f>IFERROR('Option inputs'!$F17*(IF(Scenario_Select="Scenario 1",'CBA Inputs'!AB$259-'CBA Inputs'!AB262,0)+IF(Scenario_Select="Scenario 2",'CBA Inputs'!AB$274-'CBA Inputs'!AB277,0)+IF(Scenario_Select="Scenario 3",'CBA Inputs'!AB$289-'CBA Inputs'!AB292,0)+IF(Scenario_Select="Scenario 4",'CBA Inputs'!AB$304-'CBA Inputs'!AB307,0)),0)*AC$55</f>
        <v>3506685</v>
      </c>
      <c r="AD208" s="17">
        <f>IFERROR('Option inputs'!$F17*(IF(Scenario_Select="Scenario 1",'CBA Inputs'!AC$259-'CBA Inputs'!AC262,0)+IF(Scenario_Select="Scenario 2",'CBA Inputs'!AC$274-'CBA Inputs'!AC277,0)+IF(Scenario_Select="Scenario 3",'CBA Inputs'!AC$289-'CBA Inputs'!AC292,0)+IF(Scenario_Select="Scenario 4",'CBA Inputs'!AC$304-'CBA Inputs'!AC307,0)),0)*AD$55</f>
        <v>887432</v>
      </c>
      <c r="AE208" s="17">
        <f>IFERROR('Option inputs'!$F17*(IF(Scenario_Select="Scenario 1",'CBA Inputs'!AD$259-'CBA Inputs'!AD262,0)+IF(Scenario_Select="Scenario 2",'CBA Inputs'!AD$274-'CBA Inputs'!AD277,0)+IF(Scenario_Select="Scenario 3",'CBA Inputs'!AD$289-'CBA Inputs'!AD292,0)+IF(Scenario_Select="Scenario 4",'CBA Inputs'!AD$304-'CBA Inputs'!AD307,0)),0)*AE$55</f>
        <v>9741781</v>
      </c>
      <c r="AF208" s="17">
        <f>IFERROR('Option inputs'!$F17*(IF(Scenario_Select="Scenario 1",'CBA Inputs'!AE$259-'CBA Inputs'!AE262,0)+IF(Scenario_Select="Scenario 2",'CBA Inputs'!AE$274-'CBA Inputs'!AE277,0)+IF(Scenario_Select="Scenario 3",'CBA Inputs'!AE$289-'CBA Inputs'!AE292,0)+IF(Scenario_Select="Scenario 4",'CBA Inputs'!AE$304-'CBA Inputs'!AE307,0)),0)*AF$55</f>
        <v>-2418267</v>
      </c>
      <c r="AG208" s="17">
        <f>IFERROR('Option inputs'!$F17*(IF(Scenario_Select="Scenario 1",'CBA Inputs'!AF$259-'CBA Inputs'!AF262,0)+IF(Scenario_Select="Scenario 2",'CBA Inputs'!AF$274-'CBA Inputs'!AF277,0)+IF(Scenario_Select="Scenario 3",'CBA Inputs'!AF$289-'CBA Inputs'!AF292,0)+IF(Scenario_Select="Scenario 4",'CBA Inputs'!AF$304-'CBA Inputs'!AF307,0)),0)*AG$55</f>
        <v>0</v>
      </c>
      <c r="AH208" s="17">
        <f>IFERROR('Option inputs'!$F17*(IF(Scenario_Select="Scenario 1",'CBA Inputs'!AG$259-'CBA Inputs'!AG262,0)+IF(Scenario_Select="Scenario 2",'CBA Inputs'!AG$274-'CBA Inputs'!AG277,0)+IF(Scenario_Select="Scenario 3",'CBA Inputs'!AG$289-'CBA Inputs'!AG292,0)+IF(Scenario_Select="Scenario 4",'CBA Inputs'!AG$304-'CBA Inputs'!AG307,0)),0)*AH$55</f>
        <v>0</v>
      </c>
      <c r="AI208" s="17">
        <f>IFERROR('Option inputs'!$F17*(IF(Scenario_Select="Scenario 1",'CBA Inputs'!AH$259-'CBA Inputs'!AH262,0)+IF(Scenario_Select="Scenario 2",'CBA Inputs'!AH$274-'CBA Inputs'!AH277,0)+IF(Scenario_Select="Scenario 3",'CBA Inputs'!AH$289-'CBA Inputs'!AH292,0)+IF(Scenario_Select="Scenario 4",'CBA Inputs'!AH$304-'CBA Inputs'!AH307,0)),0)*AI$55</f>
        <v>0</v>
      </c>
      <c r="AJ208" s="17">
        <f>IFERROR('Option inputs'!$F17*(IF(Scenario_Select="Scenario 1",'CBA Inputs'!AI$259-'CBA Inputs'!AI262,0)+IF(Scenario_Select="Scenario 2",'CBA Inputs'!AI$274-'CBA Inputs'!AI277,0)+IF(Scenario_Select="Scenario 3",'CBA Inputs'!AI$289-'CBA Inputs'!AI292,0)+IF(Scenario_Select="Scenario 4",'CBA Inputs'!AI$304-'CBA Inputs'!AI307,0)),0)*AJ$55</f>
        <v>0</v>
      </c>
    </row>
    <row r="209" spans="2:36" x14ac:dyDescent="0.35">
      <c r="B209" s="9">
        <f>'Option inputs'!B18</f>
        <v>4</v>
      </c>
      <c r="C209" s="14" t="str">
        <f>+'Option inputs'!C18</f>
        <v>Option 2A</v>
      </c>
      <c r="D209" s="26"/>
      <c r="E209" s="12" t="s">
        <v>35</v>
      </c>
      <c r="F209" s="18">
        <f t="shared" si="49"/>
        <v>28673317.632315807</v>
      </c>
      <c r="G209" s="17">
        <f>IFERROR('Option inputs'!$F18*(IF(Scenario_Select="Scenario 1",'CBA Inputs'!F$259-'CBA Inputs'!F263,0)+IF(Scenario_Select="Scenario 2",'CBA Inputs'!F$274-'CBA Inputs'!F278,0)+IF(Scenario_Select="Scenario 3",'CBA Inputs'!F$289-'CBA Inputs'!F293,0)+IF(Scenario_Select="Scenario 4",'CBA Inputs'!F$304-'CBA Inputs'!F308,0)),0)*G$55</f>
        <v>0</v>
      </c>
      <c r="H209" s="17">
        <f>IFERROR('Option inputs'!$F18*(IF(Scenario_Select="Scenario 1",'CBA Inputs'!G$259-'CBA Inputs'!G263,0)+IF(Scenario_Select="Scenario 2",'CBA Inputs'!G$274-'CBA Inputs'!G278,0)+IF(Scenario_Select="Scenario 3",'CBA Inputs'!G$289-'CBA Inputs'!G293,0)+IF(Scenario_Select="Scenario 4",'CBA Inputs'!G$304-'CBA Inputs'!G308,0)),0)*H$55</f>
        <v>-629</v>
      </c>
      <c r="I209" s="17">
        <f>IFERROR('Option inputs'!$F18*(IF(Scenario_Select="Scenario 1",'CBA Inputs'!H$259-'CBA Inputs'!H263,0)+IF(Scenario_Select="Scenario 2",'CBA Inputs'!H$274-'CBA Inputs'!H278,0)+IF(Scenario_Select="Scenario 3",'CBA Inputs'!H$289-'CBA Inputs'!H293,0)+IF(Scenario_Select="Scenario 4",'CBA Inputs'!H$304-'CBA Inputs'!H308,0)),0)*I$55</f>
        <v>-555</v>
      </c>
      <c r="J209" s="17">
        <f>IFERROR('Option inputs'!$F18*(IF(Scenario_Select="Scenario 1",'CBA Inputs'!I$259-'CBA Inputs'!I263,0)+IF(Scenario_Select="Scenario 2",'CBA Inputs'!I$274-'CBA Inputs'!I278,0)+IF(Scenario_Select="Scenario 3",'CBA Inputs'!I$289-'CBA Inputs'!I293,0)+IF(Scenario_Select="Scenario 4",'CBA Inputs'!I$304-'CBA Inputs'!I308,0)),0)*J$55</f>
        <v>-363</v>
      </c>
      <c r="K209" s="17">
        <f>IFERROR('Option inputs'!$F18*(IF(Scenario_Select="Scenario 1",'CBA Inputs'!J$259-'CBA Inputs'!J263,0)+IF(Scenario_Select="Scenario 2",'CBA Inputs'!J$274-'CBA Inputs'!J278,0)+IF(Scenario_Select="Scenario 3",'CBA Inputs'!J$289-'CBA Inputs'!J293,0)+IF(Scenario_Select="Scenario 4",'CBA Inputs'!J$304-'CBA Inputs'!J308,0)),0)*K$55</f>
        <v>-5192342</v>
      </c>
      <c r="L209" s="17">
        <f>IFERROR('Option inputs'!$F18*(IF(Scenario_Select="Scenario 1",'CBA Inputs'!K$259-'CBA Inputs'!K263,0)+IF(Scenario_Select="Scenario 2",'CBA Inputs'!K$274-'CBA Inputs'!K278,0)+IF(Scenario_Select="Scenario 3",'CBA Inputs'!K$289-'CBA Inputs'!K293,0)+IF(Scenario_Select="Scenario 4",'CBA Inputs'!K$304-'CBA Inputs'!K308,0)),0)*L$55</f>
        <v>3175099</v>
      </c>
      <c r="M209" s="17">
        <f>IFERROR('Option inputs'!$F18*(IF(Scenario_Select="Scenario 1",'CBA Inputs'!L$259-'CBA Inputs'!L263,0)+IF(Scenario_Select="Scenario 2",'CBA Inputs'!L$274-'CBA Inputs'!L278,0)+IF(Scenario_Select="Scenario 3",'CBA Inputs'!L$289-'CBA Inputs'!L293,0)+IF(Scenario_Select="Scenario 4",'CBA Inputs'!L$304-'CBA Inputs'!L308,0)),0)*M$55</f>
        <v>119330</v>
      </c>
      <c r="N209" s="17">
        <f>IFERROR('Option inputs'!$F18*(IF(Scenario_Select="Scenario 1",'CBA Inputs'!M$259-'CBA Inputs'!M263,0)+IF(Scenario_Select="Scenario 2",'CBA Inputs'!M$274-'CBA Inputs'!M278,0)+IF(Scenario_Select="Scenario 3",'CBA Inputs'!M$289-'CBA Inputs'!M293,0)+IF(Scenario_Select="Scenario 4",'CBA Inputs'!M$304-'CBA Inputs'!M308,0)),0)*N$55</f>
        <v>13474555</v>
      </c>
      <c r="O209" s="17">
        <f>IFERROR('Option inputs'!$F18*(IF(Scenario_Select="Scenario 1",'CBA Inputs'!N$259-'CBA Inputs'!N263,0)+IF(Scenario_Select="Scenario 2",'CBA Inputs'!N$274-'CBA Inputs'!N278,0)+IF(Scenario_Select="Scenario 3",'CBA Inputs'!N$289-'CBA Inputs'!N293,0)+IF(Scenario_Select="Scenario 4",'CBA Inputs'!N$304-'CBA Inputs'!N308,0)),0)*O$55</f>
        <v>220382</v>
      </c>
      <c r="P209" s="17">
        <f>IFERROR('Option inputs'!$F18*(IF(Scenario_Select="Scenario 1",'CBA Inputs'!O$259-'CBA Inputs'!O263,0)+IF(Scenario_Select="Scenario 2",'CBA Inputs'!O$274-'CBA Inputs'!O278,0)+IF(Scenario_Select="Scenario 3",'CBA Inputs'!O$289-'CBA Inputs'!O293,0)+IF(Scenario_Select="Scenario 4",'CBA Inputs'!O$304-'CBA Inputs'!O308,0)),0)*P$55</f>
        <v>10868442</v>
      </c>
      <c r="Q209" s="17">
        <f>IFERROR('Option inputs'!$F18*(IF(Scenario_Select="Scenario 1",'CBA Inputs'!P$259-'CBA Inputs'!P263,0)+IF(Scenario_Select="Scenario 2",'CBA Inputs'!P$274-'CBA Inputs'!P278,0)+IF(Scenario_Select="Scenario 3",'CBA Inputs'!P$289-'CBA Inputs'!P293,0)+IF(Scenario_Select="Scenario 4",'CBA Inputs'!P$304-'CBA Inputs'!P308,0)),0)*Q$55</f>
        <v>8205688</v>
      </c>
      <c r="R209" s="17">
        <f>IFERROR('Option inputs'!$F18*(IF(Scenario_Select="Scenario 1",'CBA Inputs'!Q$259-'CBA Inputs'!Q263,0)+IF(Scenario_Select="Scenario 2",'CBA Inputs'!Q$274-'CBA Inputs'!Q278,0)+IF(Scenario_Select="Scenario 3",'CBA Inputs'!Q$289-'CBA Inputs'!Q293,0)+IF(Scenario_Select="Scenario 4",'CBA Inputs'!Q$304-'CBA Inputs'!Q308,0)),0)*R$55</f>
        <v>6378885</v>
      </c>
      <c r="S209" s="17">
        <f>IFERROR('Option inputs'!$F18*(IF(Scenario_Select="Scenario 1",'CBA Inputs'!R$259-'CBA Inputs'!R263,0)+IF(Scenario_Select="Scenario 2",'CBA Inputs'!R$274-'CBA Inputs'!R278,0)+IF(Scenario_Select="Scenario 3",'CBA Inputs'!R$289-'CBA Inputs'!R293,0)+IF(Scenario_Select="Scenario 4",'CBA Inputs'!R$304-'CBA Inputs'!R308,0)),0)*S$55</f>
        <v>1841784</v>
      </c>
      <c r="T209" s="17">
        <f>IFERROR('Option inputs'!$F18*(IF(Scenario_Select="Scenario 1",'CBA Inputs'!S$259-'CBA Inputs'!S263,0)+IF(Scenario_Select="Scenario 2",'CBA Inputs'!S$274-'CBA Inputs'!S278,0)+IF(Scenario_Select="Scenario 3",'CBA Inputs'!S$289-'CBA Inputs'!S293,0)+IF(Scenario_Select="Scenario 4",'CBA Inputs'!S$304-'CBA Inputs'!S308,0)),0)*T$55</f>
        <v>5231107</v>
      </c>
      <c r="U209" s="17">
        <f>IFERROR('Option inputs'!$F18*(IF(Scenario_Select="Scenario 1",'CBA Inputs'!T$259-'CBA Inputs'!T263,0)+IF(Scenario_Select="Scenario 2",'CBA Inputs'!T$274-'CBA Inputs'!T278,0)+IF(Scenario_Select="Scenario 3",'CBA Inputs'!T$289-'CBA Inputs'!T293,0)+IF(Scenario_Select="Scenario 4",'CBA Inputs'!T$304-'CBA Inputs'!T308,0)),0)*U$55</f>
        <v>-144869</v>
      </c>
      <c r="V209" s="17">
        <f>IFERROR('Option inputs'!$F18*(IF(Scenario_Select="Scenario 1",'CBA Inputs'!U$259-'CBA Inputs'!U263,0)+IF(Scenario_Select="Scenario 2",'CBA Inputs'!U$274-'CBA Inputs'!U278,0)+IF(Scenario_Select="Scenario 3",'CBA Inputs'!U$289-'CBA Inputs'!U293,0)+IF(Scenario_Select="Scenario 4",'CBA Inputs'!U$304-'CBA Inputs'!U308,0)),0)*V$55</f>
        <v>3603925</v>
      </c>
      <c r="W209" s="17">
        <f>IFERROR('Option inputs'!$F18*(IF(Scenario_Select="Scenario 1",'CBA Inputs'!V$259-'CBA Inputs'!V263,0)+IF(Scenario_Select="Scenario 2",'CBA Inputs'!V$274-'CBA Inputs'!V278,0)+IF(Scenario_Select="Scenario 3",'CBA Inputs'!V$289-'CBA Inputs'!V293,0)+IF(Scenario_Select="Scenario 4",'CBA Inputs'!V$304-'CBA Inputs'!V308,0)),0)*W$55</f>
        <v>-5398625</v>
      </c>
      <c r="X209" s="17">
        <f>IFERROR('Option inputs'!$F18*(IF(Scenario_Select="Scenario 1",'CBA Inputs'!W$259-'CBA Inputs'!W263,0)+IF(Scenario_Select="Scenario 2",'CBA Inputs'!W$274-'CBA Inputs'!W278,0)+IF(Scenario_Select="Scenario 3",'CBA Inputs'!W$289-'CBA Inputs'!W293,0)+IF(Scenario_Select="Scenario 4",'CBA Inputs'!W$304-'CBA Inputs'!W308,0)),0)*X$55</f>
        <v>3998914</v>
      </c>
      <c r="Y209" s="17">
        <f>IFERROR('Option inputs'!$F18*(IF(Scenario_Select="Scenario 1",'CBA Inputs'!X$259-'CBA Inputs'!X263,0)+IF(Scenario_Select="Scenario 2",'CBA Inputs'!X$274-'CBA Inputs'!X278,0)+IF(Scenario_Select="Scenario 3",'CBA Inputs'!X$289-'CBA Inputs'!X293,0)+IF(Scenario_Select="Scenario 4",'CBA Inputs'!X$304-'CBA Inputs'!X308,0)),0)*Y$55</f>
        <v>12724149</v>
      </c>
      <c r="Z209" s="17">
        <f>IFERROR('Option inputs'!$F18*(IF(Scenario_Select="Scenario 1",'CBA Inputs'!Y$259-'CBA Inputs'!Y263,0)+IF(Scenario_Select="Scenario 2",'CBA Inputs'!Y$274-'CBA Inputs'!Y278,0)+IF(Scenario_Select="Scenario 3",'CBA Inputs'!Y$289-'CBA Inputs'!Y293,0)+IF(Scenario_Select="Scenario 4",'CBA Inputs'!Y$304-'CBA Inputs'!Y308,0)),0)*Z$55</f>
        <v>9077</v>
      </c>
      <c r="AA209" s="17">
        <f>IFERROR('Option inputs'!$F18*(IF(Scenario_Select="Scenario 1",'CBA Inputs'!Z$259-'CBA Inputs'!Z263,0)+IF(Scenario_Select="Scenario 2",'CBA Inputs'!Z$274-'CBA Inputs'!Z278,0)+IF(Scenario_Select="Scenario 3",'CBA Inputs'!Z$289-'CBA Inputs'!Z293,0)+IF(Scenario_Select="Scenario 4",'CBA Inputs'!Z$304-'CBA Inputs'!Z308,0)),0)*AA$55</f>
        <v>-727746</v>
      </c>
      <c r="AB209" s="17">
        <f>IFERROR('Option inputs'!$F18*(IF(Scenario_Select="Scenario 1",'CBA Inputs'!AA$259-'CBA Inputs'!AA263,0)+IF(Scenario_Select="Scenario 2",'CBA Inputs'!AA$274-'CBA Inputs'!AA278,0)+IF(Scenario_Select="Scenario 3",'CBA Inputs'!AA$289-'CBA Inputs'!AA293,0)+IF(Scenario_Select="Scenario 4",'CBA Inputs'!AA$304-'CBA Inputs'!AA308,0)),0)*AB$55</f>
        <v>-4585887</v>
      </c>
      <c r="AC209" s="17">
        <f>IFERROR('Option inputs'!$F18*(IF(Scenario_Select="Scenario 1",'CBA Inputs'!AB$259-'CBA Inputs'!AB263,0)+IF(Scenario_Select="Scenario 2",'CBA Inputs'!AB$274-'CBA Inputs'!AB278,0)+IF(Scenario_Select="Scenario 3",'CBA Inputs'!AB$289-'CBA Inputs'!AB293,0)+IF(Scenario_Select="Scenario 4",'CBA Inputs'!AB$304-'CBA Inputs'!AB308,0)),0)*AC$55</f>
        <v>-3368770</v>
      </c>
      <c r="AD209" s="17">
        <f>IFERROR('Option inputs'!$F18*(IF(Scenario_Select="Scenario 1",'CBA Inputs'!AC$259-'CBA Inputs'!AC263,0)+IF(Scenario_Select="Scenario 2",'CBA Inputs'!AC$274-'CBA Inputs'!AC278,0)+IF(Scenario_Select="Scenario 3",'CBA Inputs'!AC$289-'CBA Inputs'!AC293,0)+IF(Scenario_Select="Scenario 4",'CBA Inputs'!AC$304-'CBA Inputs'!AC308,0)),0)*AD$55</f>
        <v>1454611</v>
      </c>
      <c r="AE209" s="17">
        <f>IFERROR('Option inputs'!$F18*(IF(Scenario_Select="Scenario 1",'CBA Inputs'!AD$259-'CBA Inputs'!AD263,0)+IF(Scenario_Select="Scenario 2",'CBA Inputs'!AD$274-'CBA Inputs'!AD278,0)+IF(Scenario_Select="Scenario 3",'CBA Inputs'!AD$289-'CBA Inputs'!AD293,0)+IF(Scenario_Select="Scenario 4",'CBA Inputs'!AD$304-'CBA Inputs'!AD308,0)),0)*AE$55</f>
        <v>2696296</v>
      </c>
      <c r="AF209" s="17">
        <f>IFERROR('Option inputs'!$F18*(IF(Scenario_Select="Scenario 1",'CBA Inputs'!AE$259-'CBA Inputs'!AE263,0)+IF(Scenario_Select="Scenario 2",'CBA Inputs'!AE$274-'CBA Inputs'!AE278,0)+IF(Scenario_Select="Scenario 3",'CBA Inputs'!AE$289-'CBA Inputs'!AE293,0)+IF(Scenario_Select="Scenario 4",'CBA Inputs'!AE$304-'CBA Inputs'!AE308,0)),0)*AF$55</f>
        <v>-2517452</v>
      </c>
      <c r="AG209" s="17">
        <f>IFERROR('Option inputs'!$F18*(IF(Scenario_Select="Scenario 1",'CBA Inputs'!AF$259-'CBA Inputs'!AF263,0)+IF(Scenario_Select="Scenario 2",'CBA Inputs'!AF$274-'CBA Inputs'!AF278,0)+IF(Scenario_Select="Scenario 3",'CBA Inputs'!AF$289-'CBA Inputs'!AF293,0)+IF(Scenario_Select="Scenario 4",'CBA Inputs'!AF$304-'CBA Inputs'!AF308,0)),0)*AG$55</f>
        <v>0</v>
      </c>
      <c r="AH209" s="17">
        <f>IFERROR('Option inputs'!$F18*(IF(Scenario_Select="Scenario 1",'CBA Inputs'!AG$259-'CBA Inputs'!AG263,0)+IF(Scenario_Select="Scenario 2",'CBA Inputs'!AG$274-'CBA Inputs'!AG278,0)+IF(Scenario_Select="Scenario 3",'CBA Inputs'!AG$289-'CBA Inputs'!AG293,0)+IF(Scenario_Select="Scenario 4",'CBA Inputs'!AG$304-'CBA Inputs'!AG308,0)),0)*AH$55</f>
        <v>0</v>
      </c>
      <c r="AI209" s="17">
        <f>IFERROR('Option inputs'!$F18*(IF(Scenario_Select="Scenario 1",'CBA Inputs'!AH$259-'CBA Inputs'!AH263,0)+IF(Scenario_Select="Scenario 2",'CBA Inputs'!AH$274-'CBA Inputs'!AH278,0)+IF(Scenario_Select="Scenario 3",'CBA Inputs'!AH$289-'CBA Inputs'!AH293,0)+IF(Scenario_Select="Scenario 4",'CBA Inputs'!AH$304-'CBA Inputs'!AH308,0)),0)*AI$55</f>
        <v>0</v>
      </c>
      <c r="AJ209" s="17">
        <f>IFERROR('Option inputs'!$F18*(IF(Scenario_Select="Scenario 1",'CBA Inputs'!AI$259-'CBA Inputs'!AI263,0)+IF(Scenario_Select="Scenario 2",'CBA Inputs'!AI$274-'CBA Inputs'!AI278,0)+IF(Scenario_Select="Scenario 3",'CBA Inputs'!AI$289-'CBA Inputs'!AI293,0)+IF(Scenario_Select="Scenario 4",'CBA Inputs'!AI$304-'CBA Inputs'!AI308,0)),0)*AJ$55</f>
        <v>0</v>
      </c>
    </row>
    <row r="210" spans="2:36" x14ac:dyDescent="0.35">
      <c r="B210" s="9">
        <f>'Option inputs'!B19</f>
        <v>5</v>
      </c>
      <c r="C210" s="14" t="str">
        <f>+'Option inputs'!C19</f>
        <v>Option 2B</v>
      </c>
      <c r="D210" s="26"/>
      <c r="E210" s="12" t="s">
        <v>35</v>
      </c>
      <c r="F210" s="18">
        <f t="shared" si="49"/>
        <v>57108913.559090711</v>
      </c>
      <c r="G210" s="17">
        <f>IFERROR('Option inputs'!$F19*(IF(Scenario_Select="Scenario 1",'CBA Inputs'!F$259-'CBA Inputs'!F264,0)+IF(Scenario_Select="Scenario 2",'CBA Inputs'!F$274-'CBA Inputs'!F279,0)+IF(Scenario_Select="Scenario 3",'CBA Inputs'!F$289-'CBA Inputs'!F294,0)+IF(Scenario_Select="Scenario 4",'CBA Inputs'!F$304-'CBA Inputs'!F309,0)),0)*G$55</f>
        <v>0</v>
      </c>
      <c r="H210" s="17">
        <f>IFERROR('Option inputs'!$F19*(IF(Scenario_Select="Scenario 1",'CBA Inputs'!G$259-'CBA Inputs'!G264,0)+IF(Scenario_Select="Scenario 2",'CBA Inputs'!G$274-'CBA Inputs'!G279,0)+IF(Scenario_Select="Scenario 3",'CBA Inputs'!G$289-'CBA Inputs'!G294,0)+IF(Scenario_Select="Scenario 4",'CBA Inputs'!G$304-'CBA Inputs'!G309,0)),0)*H$55</f>
        <v>732</v>
      </c>
      <c r="I210" s="17">
        <f>IFERROR('Option inputs'!$F19*(IF(Scenario_Select="Scenario 1",'CBA Inputs'!H$259-'CBA Inputs'!H264,0)+IF(Scenario_Select="Scenario 2",'CBA Inputs'!H$274-'CBA Inputs'!H279,0)+IF(Scenario_Select="Scenario 3",'CBA Inputs'!H$289-'CBA Inputs'!H294,0)+IF(Scenario_Select="Scenario 4",'CBA Inputs'!H$304-'CBA Inputs'!H309,0)),0)*I$55</f>
        <v>777</v>
      </c>
      <c r="J210" s="17">
        <f>IFERROR('Option inputs'!$F19*(IF(Scenario_Select="Scenario 1",'CBA Inputs'!I$259-'CBA Inputs'!I264,0)+IF(Scenario_Select="Scenario 2",'CBA Inputs'!I$274-'CBA Inputs'!I279,0)+IF(Scenario_Select="Scenario 3",'CBA Inputs'!I$289-'CBA Inputs'!I294,0)+IF(Scenario_Select="Scenario 4",'CBA Inputs'!I$304-'CBA Inputs'!I309,0)),0)*J$55</f>
        <v>800</v>
      </c>
      <c r="K210" s="17">
        <f>IFERROR('Option inputs'!$F19*(IF(Scenario_Select="Scenario 1",'CBA Inputs'!J$259-'CBA Inputs'!J264,0)+IF(Scenario_Select="Scenario 2",'CBA Inputs'!J$274-'CBA Inputs'!J279,0)+IF(Scenario_Select="Scenario 3",'CBA Inputs'!J$289-'CBA Inputs'!J294,0)+IF(Scenario_Select="Scenario 4",'CBA Inputs'!J$304-'CBA Inputs'!J309,0)),0)*K$55</f>
        <v>-5434977</v>
      </c>
      <c r="L210" s="17">
        <f>IFERROR('Option inputs'!$F19*(IF(Scenario_Select="Scenario 1",'CBA Inputs'!K$259-'CBA Inputs'!K264,0)+IF(Scenario_Select="Scenario 2",'CBA Inputs'!K$274-'CBA Inputs'!K279,0)+IF(Scenario_Select="Scenario 3",'CBA Inputs'!K$289-'CBA Inputs'!K294,0)+IF(Scenario_Select="Scenario 4",'CBA Inputs'!K$304-'CBA Inputs'!K309,0)),0)*L$55</f>
        <v>3176325</v>
      </c>
      <c r="M210" s="17">
        <f>IFERROR('Option inputs'!$F19*(IF(Scenario_Select="Scenario 1",'CBA Inputs'!L$259-'CBA Inputs'!L264,0)+IF(Scenario_Select="Scenario 2",'CBA Inputs'!L$274-'CBA Inputs'!L279,0)+IF(Scenario_Select="Scenario 3",'CBA Inputs'!L$289-'CBA Inputs'!L294,0)+IF(Scenario_Select="Scenario 4",'CBA Inputs'!L$304-'CBA Inputs'!L309,0)),0)*M$55</f>
        <v>120562</v>
      </c>
      <c r="N210" s="17">
        <f>IFERROR('Option inputs'!$F19*(IF(Scenario_Select="Scenario 1",'CBA Inputs'!M$259-'CBA Inputs'!M264,0)+IF(Scenario_Select="Scenario 2",'CBA Inputs'!M$274-'CBA Inputs'!M279,0)+IF(Scenario_Select="Scenario 3",'CBA Inputs'!M$289-'CBA Inputs'!M294,0)+IF(Scenario_Select="Scenario 4",'CBA Inputs'!M$304-'CBA Inputs'!M309,0)),0)*N$55</f>
        <v>14037937</v>
      </c>
      <c r="O210" s="17">
        <f>IFERROR('Option inputs'!$F19*(IF(Scenario_Select="Scenario 1",'CBA Inputs'!N$259-'CBA Inputs'!N264,0)+IF(Scenario_Select="Scenario 2",'CBA Inputs'!N$274-'CBA Inputs'!N279,0)+IF(Scenario_Select="Scenario 3",'CBA Inputs'!N$289-'CBA Inputs'!N294,0)+IF(Scenario_Select="Scenario 4",'CBA Inputs'!N$304-'CBA Inputs'!N309,0)),0)*O$55</f>
        <v>221594</v>
      </c>
      <c r="P210" s="17">
        <f>IFERROR('Option inputs'!$F19*(IF(Scenario_Select="Scenario 1",'CBA Inputs'!O$259-'CBA Inputs'!O264,0)+IF(Scenario_Select="Scenario 2",'CBA Inputs'!O$274-'CBA Inputs'!O279,0)+IF(Scenario_Select="Scenario 3",'CBA Inputs'!O$289-'CBA Inputs'!O294,0)+IF(Scenario_Select="Scenario 4",'CBA Inputs'!O$304-'CBA Inputs'!O309,0)),0)*P$55</f>
        <v>11083975</v>
      </c>
      <c r="Q210" s="17">
        <f>IFERROR('Option inputs'!$F19*(IF(Scenario_Select="Scenario 1",'CBA Inputs'!P$259-'CBA Inputs'!P264,0)+IF(Scenario_Select="Scenario 2",'CBA Inputs'!P$274-'CBA Inputs'!P279,0)+IF(Scenario_Select="Scenario 3",'CBA Inputs'!P$289-'CBA Inputs'!P294,0)+IF(Scenario_Select="Scenario 4",'CBA Inputs'!P$304-'CBA Inputs'!P309,0)),0)*Q$55</f>
        <v>19390214</v>
      </c>
      <c r="R210" s="17">
        <f>IFERROR('Option inputs'!$F19*(IF(Scenario_Select="Scenario 1",'CBA Inputs'!Q$259-'CBA Inputs'!Q264,0)+IF(Scenario_Select="Scenario 2",'CBA Inputs'!Q$274-'CBA Inputs'!Q279,0)+IF(Scenario_Select="Scenario 3",'CBA Inputs'!Q$289-'CBA Inputs'!Q294,0)+IF(Scenario_Select="Scenario 4",'CBA Inputs'!Q$304-'CBA Inputs'!Q309,0)),0)*R$55</f>
        <v>6833108</v>
      </c>
      <c r="S210" s="17">
        <f>IFERROR('Option inputs'!$F19*(IF(Scenario_Select="Scenario 1",'CBA Inputs'!R$259-'CBA Inputs'!R264,0)+IF(Scenario_Select="Scenario 2",'CBA Inputs'!R$274-'CBA Inputs'!R279,0)+IF(Scenario_Select="Scenario 3",'CBA Inputs'!R$289-'CBA Inputs'!R294,0)+IF(Scenario_Select="Scenario 4",'CBA Inputs'!R$304-'CBA Inputs'!R309,0)),0)*S$55</f>
        <v>4195927</v>
      </c>
      <c r="T210" s="17">
        <f>IFERROR('Option inputs'!$F19*(IF(Scenario_Select="Scenario 1",'CBA Inputs'!S$259-'CBA Inputs'!S264,0)+IF(Scenario_Select="Scenario 2",'CBA Inputs'!S$274-'CBA Inputs'!S279,0)+IF(Scenario_Select="Scenario 3",'CBA Inputs'!S$289-'CBA Inputs'!S294,0)+IF(Scenario_Select="Scenario 4",'CBA Inputs'!S$304-'CBA Inputs'!S309,0)),0)*T$55</f>
        <v>10264036</v>
      </c>
      <c r="U210" s="17">
        <f>IFERROR('Option inputs'!$F19*(IF(Scenario_Select="Scenario 1",'CBA Inputs'!T$259-'CBA Inputs'!T264,0)+IF(Scenario_Select="Scenario 2",'CBA Inputs'!T$274-'CBA Inputs'!T279,0)+IF(Scenario_Select="Scenario 3",'CBA Inputs'!T$289-'CBA Inputs'!T294,0)+IF(Scenario_Select="Scenario 4",'CBA Inputs'!T$304-'CBA Inputs'!T309,0)),0)*U$55</f>
        <v>638957</v>
      </c>
      <c r="V210" s="17">
        <f>IFERROR('Option inputs'!$F19*(IF(Scenario_Select="Scenario 1",'CBA Inputs'!U$259-'CBA Inputs'!U264,0)+IF(Scenario_Select="Scenario 2",'CBA Inputs'!U$274-'CBA Inputs'!U279,0)+IF(Scenario_Select="Scenario 3",'CBA Inputs'!U$289-'CBA Inputs'!U294,0)+IF(Scenario_Select="Scenario 4",'CBA Inputs'!U$304-'CBA Inputs'!U309,0)),0)*V$55</f>
        <v>7935270</v>
      </c>
      <c r="W210" s="17">
        <f>IFERROR('Option inputs'!$F19*(IF(Scenario_Select="Scenario 1",'CBA Inputs'!V$259-'CBA Inputs'!V264,0)+IF(Scenario_Select="Scenario 2",'CBA Inputs'!V$274-'CBA Inputs'!V279,0)+IF(Scenario_Select="Scenario 3",'CBA Inputs'!V$289-'CBA Inputs'!V294,0)+IF(Scenario_Select="Scenario 4",'CBA Inputs'!V$304-'CBA Inputs'!V309,0)),0)*W$55</f>
        <v>9940629</v>
      </c>
      <c r="X210" s="17">
        <f>IFERROR('Option inputs'!$F19*(IF(Scenario_Select="Scenario 1",'CBA Inputs'!W$259-'CBA Inputs'!W264,0)+IF(Scenario_Select="Scenario 2",'CBA Inputs'!W$274-'CBA Inputs'!W279,0)+IF(Scenario_Select="Scenario 3",'CBA Inputs'!W$289-'CBA Inputs'!W294,0)+IF(Scenario_Select="Scenario 4",'CBA Inputs'!W$304-'CBA Inputs'!W309,0)),0)*X$55</f>
        <v>10483185</v>
      </c>
      <c r="Y210" s="17">
        <f>IFERROR('Option inputs'!$F19*(IF(Scenario_Select="Scenario 1",'CBA Inputs'!X$259-'CBA Inputs'!X264,0)+IF(Scenario_Select="Scenario 2",'CBA Inputs'!X$274-'CBA Inputs'!X279,0)+IF(Scenario_Select="Scenario 3",'CBA Inputs'!X$289-'CBA Inputs'!X294,0)+IF(Scenario_Select="Scenario 4",'CBA Inputs'!X$304-'CBA Inputs'!X309,0)),0)*Y$55</f>
        <v>36198947</v>
      </c>
      <c r="Z210" s="17">
        <f>IFERROR('Option inputs'!$F19*(IF(Scenario_Select="Scenario 1",'CBA Inputs'!Y$259-'CBA Inputs'!Y264,0)+IF(Scenario_Select="Scenario 2",'CBA Inputs'!Y$274-'CBA Inputs'!Y279,0)+IF(Scenario_Select="Scenario 3",'CBA Inputs'!Y$289-'CBA Inputs'!Y294,0)+IF(Scenario_Select="Scenario 4",'CBA Inputs'!Y$304-'CBA Inputs'!Y309,0)),0)*Z$55</f>
        <v>-133650</v>
      </c>
      <c r="AA210" s="17">
        <f>IFERROR('Option inputs'!$F19*(IF(Scenario_Select="Scenario 1",'CBA Inputs'!Z$259-'CBA Inputs'!Z264,0)+IF(Scenario_Select="Scenario 2",'CBA Inputs'!Z$274-'CBA Inputs'!Z279,0)+IF(Scenario_Select="Scenario 3",'CBA Inputs'!Z$289-'CBA Inputs'!Z294,0)+IF(Scenario_Select="Scenario 4",'CBA Inputs'!Z$304-'CBA Inputs'!Z309,0)),0)*AA$55</f>
        <v>-871095</v>
      </c>
      <c r="AB210" s="17">
        <f>IFERROR('Option inputs'!$F19*(IF(Scenario_Select="Scenario 1",'CBA Inputs'!AA$259-'CBA Inputs'!AA264,0)+IF(Scenario_Select="Scenario 2",'CBA Inputs'!AA$274-'CBA Inputs'!AA279,0)+IF(Scenario_Select="Scenario 3",'CBA Inputs'!AA$289-'CBA Inputs'!AA294,0)+IF(Scenario_Select="Scenario 4",'CBA Inputs'!AA$304-'CBA Inputs'!AA309,0)),0)*AB$55</f>
        <v>-8496300</v>
      </c>
      <c r="AC210" s="17">
        <f>IFERROR('Option inputs'!$F19*(IF(Scenario_Select="Scenario 1",'CBA Inputs'!AB$259-'CBA Inputs'!AB264,0)+IF(Scenario_Select="Scenario 2",'CBA Inputs'!AB$274-'CBA Inputs'!AB279,0)+IF(Scenario_Select="Scenario 3",'CBA Inputs'!AB$289-'CBA Inputs'!AB294,0)+IF(Scenario_Select="Scenario 4",'CBA Inputs'!AB$304-'CBA Inputs'!AB309,0)),0)*AC$55</f>
        <v>603380</v>
      </c>
      <c r="AD210" s="17">
        <f>IFERROR('Option inputs'!$F19*(IF(Scenario_Select="Scenario 1",'CBA Inputs'!AC$259-'CBA Inputs'!AC264,0)+IF(Scenario_Select="Scenario 2",'CBA Inputs'!AC$274-'CBA Inputs'!AC279,0)+IF(Scenario_Select="Scenario 3",'CBA Inputs'!AC$289-'CBA Inputs'!AC294,0)+IF(Scenario_Select="Scenario 4",'CBA Inputs'!AC$304-'CBA Inputs'!AC309,0)),0)*AD$55</f>
        <v>245213</v>
      </c>
      <c r="AE210" s="17">
        <f>IFERROR('Option inputs'!$F19*(IF(Scenario_Select="Scenario 1",'CBA Inputs'!AD$259-'CBA Inputs'!AD264,0)+IF(Scenario_Select="Scenario 2",'CBA Inputs'!AD$274-'CBA Inputs'!AD279,0)+IF(Scenario_Select="Scenario 3",'CBA Inputs'!AD$289-'CBA Inputs'!AD294,0)+IF(Scenario_Select="Scenario 4",'CBA Inputs'!AD$304-'CBA Inputs'!AD309,0)),0)*AE$55</f>
        <v>7340053</v>
      </c>
      <c r="AF210" s="17">
        <f>IFERROR('Option inputs'!$F19*(IF(Scenario_Select="Scenario 1",'CBA Inputs'!AE$259-'CBA Inputs'!AE264,0)+IF(Scenario_Select="Scenario 2",'CBA Inputs'!AE$274-'CBA Inputs'!AE279,0)+IF(Scenario_Select="Scenario 3",'CBA Inputs'!AE$289-'CBA Inputs'!AE294,0)+IF(Scenario_Select="Scenario 4",'CBA Inputs'!AE$304-'CBA Inputs'!AE309,0)),0)*AF$55</f>
        <v>-10215888</v>
      </c>
      <c r="AG210" s="17">
        <f>IFERROR('Option inputs'!$F19*(IF(Scenario_Select="Scenario 1",'CBA Inputs'!AF$259-'CBA Inputs'!AF264,0)+IF(Scenario_Select="Scenario 2",'CBA Inputs'!AF$274-'CBA Inputs'!AF279,0)+IF(Scenario_Select="Scenario 3",'CBA Inputs'!AF$289-'CBA Inputs'!AF294,0)+IF(Scenario_Select="Scenario 4",'CBA Inputs'!AF$304-'CBA Inputs'!AF309,0)),0)*AG$55</f>
        <v>0</v>
      </c>
      <c r="AH210" s="17">
        <f>IFERROR('Option inputs'!$F19*(IF(Scenario_Select="Scenario 1",'CBA Inputs'!AG$259-'CBA Inputs'!AG264,0)+IF(Scenario_Select="Scenario 2",'CBA Inputs'!AG$274-'CBA Inputs'!AG279,0)+IF(Scenario_Select="Scenario 3",'CBA Inputs'!AG$289-'CBA Inputs'!AG294,0)+IF(Scenario_Select="Scenario 4",'CBA Inputs'!AG$304-'CBA Inputs'!AG309,0)),0)*AH$55</f>
        <v>0</v>
      </c>
      <c r="AI210" s="17">
        <f>IFERROR('Option inputs'!$F19*(IF(Scenario_Select="Scenario 1",'CBA Inputs'!AH$259-'CBA Inputs'!AH264,0)+IF(Scenario_Select="Scenario 2",'CBA Inputs'!AH$274-'CBA Inputs'!AH279,0)+IF(Scenario_Select="Scenario 3",'CBA Inputs'!AH$289-'CBA Inputs'!AH294,0)+IF(Scenario_Select="Scenario 4",'CBA Inputs'!AH$304-'CBA Inputs'!AH309,0)),0)*AI$55</f>
        <v>0</v>
      </c>
      <c r="AJ210" s="17">
        <f>IFERROR('Option inputs'!$F19*(IF(Scenario_Select="Scenario 1",'CBA Inputs'!AI$259-'CBA Inputs'!AI264,0)+IF(Scenario_Select="Scenario 2",'CBA Inputs'!AI$274-'CBA Inputs'!AI279,0)+IF(Scenario_Select="Scenario 3",'CBA Inputs'!AI$289-'CBA Inputs'!AI294,0)+IF(Scenario_Select="Scenario 4",'CBA Inputs'!AI$304-'CBA Inputs'!AI309,0)),0)*AJ$55</f>
        <v>0</v>
      </c>
    </row>
    <row r="211" spans="2:36" x14ac:dyDescent="0.35">
      <c r="B211" s="9">
        <f>'Option inputs'!B20</f>
        <v>6</v>
      </c>
      <c r="C211" s="14" t="str">
        <f>+'Option inputs'!C20</f>
        <v>Option 2C</v>
      </c>
      <c r="D211" s="26"/>
      <c r="E211" s="12" t="s">
        <v>35</v>
      </c>
      <c r="F211" s="18">
        <f t="shared" si="49"/>
        <v>63737122.563836128</v>
      </c>
      <c r="G211" s="17">
        <f>IFERROR('Option inputs'!$F20*(IF(Scenario_Select="Scenario 1",'CBA Inputs'!F$259-'CBA Inputs'!F265,0)+IF(Scenario_Select="Scenario 2",'CBA Inputs'!F$274-'CBA Inputs'!F280,0)+IF(Scenario_Select="Scenario 3",'CBA Inputs'!F$289-'CBA Inputs'!F295,0)+IF(Scenario_Select="Scenario 4",'CBA Inputs'!F$304-'CBA Inputs'!F310,0)),0)*G$55</f>
        <v>0</v>
      </c>
      <c r="H211" s="17">
        <f>IFERROR('Option inputs'!$F20*(IF(Scenario_Select="Scenario 1",'CBA Inputs'!G$259-'CBA Inputs'!G265,0)+IF(Scenario_Select="Scenario 2",'CBA Inputs'!G$274-'CBA Inputs'!G280,0)+IF(Scenario_Select="Scenario 3",'CBA Inputs'!G$289-'CBA Inputs'!G295,0)+IF(Scenario_Select="Scenario 4",'CBA Inputs'!G$304-'CBA Inputs'!G310,0)),0)*H$55</f>
        <v>247</v>
      </c>
      <c r="I211" s="17">
        <f>IFERROR('Option inputs'!$F20*(IF(Scenario_Select="Scenario 1",'CBA Inputs'!H$259-'CBA Inputs'!H265,0)+IF(Scenario_Select="Scenario 2",'CBA Inputs'!H$274-'CBA Inputs'!H280,0)+IF(Scenario_Select="Scenario 3",'CBA Inputs'!H$289-'CBA Inputs'!H295,0)+IF(Scenario_Select="Scenario 4",'CBA Inputs'!H$304-'CBA Inputs'!H310,0)),0)*I$55</f>
        <v>253</v>
      </c>
      <c r="J211" s="17">
        <f>IFERROR('Option inputs'!$F20*(IF(Scenario_Select="Scenario 1",'CBA Inputs'!I$259-'CBA Inputs'!I265,0)+IF(Scenario_Select="Scenario 2",'CBA Inputs'!I$274-'CBA Inputs'!I280,0)+IF(Scenario_Select="Scenario 3",'CBA Inputs'!I$289-'CBA Inputs'!I295,0)+IF(Scenario_Select="Scenario 4",'CBA Inputs'!I$304-'CBA Inputs'!I310,0)),0)*J$55</f>
        <v>238</v>
      </c>
      <c r="K211" s="17">
        <f>IFERROR('Option inputs'!$F20*(IF(Scenario_Select="Scenario 1",'CBA Inputs'!J$259-'CBA Inputs'!J265,0)+IF(Scenario_Select="Scenario 2",'CBA Inputs'!J$274-'CBA Inputs'!J280,0)+IF(Scenario_Select="Scenario 3",'CBA Inputs'!J$289-'CBA Inputs'!J295,0)+IF(Scenario_Select="Scenario 4",'CBA Inputs'!J$304-'CBA Inputs'!J310,0)),0)*K$55</f>
        <v>-7959711</v>
      </c>
      <c r="L211" s="17">
        <f>IFERROR('Option inputs'!$F20*(IF(Scenario_Select="Scenario 1",'CBA Inputs'!K$259-'CBA Inputs'!K265,0)+IF(Scenario_Select="Scenario 2",'CBA Inputs'!K$274-'CBA Inputs'!K280,0)+IF(Scenario_Select="Scenario 3",'CBA Inputs'!K$289-'CBA Inputs'!K295,0)+IF(Scenario_Select="Scenario 4",'CBA Inputs'!K$304-'CBA Inputs'!K310,0)),0)*L$55</f>
        <v>7724965</v>
      </c>
      <c r="M211" s="17">
        <f>IFERROR('Option inputs'!$F20*(IF(Scenario_Select="Scenario 1",'CBA Inputs'!L$259-'CBA Inputs'!L265,0)+IF(Scenario_Select="Scenario 2",'CBA Inputs'!L$274-'CBA Inputs'!L280,0)+IF(Scenario_Select="Scenario 3",'CBA Inputs'!L$289-'CBA Inputs'!L295,0)+IF(Scenario_Select="Scenario 4",'CBA Inputs'!L$304-'CBA Inputs'!L310,0)),0)*M$55</f>
        <v>119940</v>
      </c>
      <c r="N211" s="17">
        <f>IFERROR('Option inputs'!$F20*(IF(Scenario_Select="Scenario 1",'CBA Inputs'!M$259-'CBA Inputs'!M265,0)+IF(Scenario_Select="Scenario 2",'CBA Inputs'!M$274-'CBA Inputs'!M280,0)+IF(Scenario_Select="Scenario 3",'CBA Inputs'!M$289-'CBA Inputs'!M295,0)+IF(Scenario_Select="Scenario 4",'CBA Inputs'!M$304-'CBA Inputs'!M310,0)),0)*N$55</f>
        <v>14901294</v>
      </c>
      <c r="O211" s="17">
        <f>IFERROR('Option inputs'!$F20*(IF(Scenario_Select="Scenario 1",'CBA Inputs'!N$259-'CBA Inputs'!N265,0)+IF(Scenario_Select="Scenario 2",'CBA Inputs'!N$274-'CBA Inputs'!N280,0)+IF(Scenario_Select="Scenario 3",'CBA Inputs'!N$289-'CBA Inputs'!N295,0)+IF(Scenario_Select="Scenario 4",'CBA Inputs'!N$304-'CBA Inputs'!N310,0)),0)*O$55</f>
        <v>220892</v>
      </c>
      <c r="P211" s="17">
        <f>IFERROR('Option inputs'!$F20*(IF(Scenario_Select="Scenario 1",'CBA Inputs'!O$259-'CBA Inputs'!O265,0)+IF(Scenario_Select="Scenario 2",'CBA Inputs'!O$274-'CBA Inputs'!O280,0)+IF(Scenario_Select="Scenario 3",'CBA Inputs'!O$289-'CBA Inputs'!O295,0)+IF(Scenario_Select="Scenario 4",'CBA Inputs'!O$304-'CBA Inputs'!O310,0)),0)*P$55</f>
        <v>18879825</v>
      </c>
      <c r="Q211" s="17">
        <f>IFERROR('Option inputs'!$F20*(IF(Scenario_Select="Scenario 1",'CBA Inputs'!P$259-'CBA Inputs'!P265,0)+IF(Scenario_Select="Scenario 2",'CBA Inputs'!P$274-'CBA Inputs'!P280,0)+IF(Scenario_Select="Scenario 3",'CBA Inputs'!P$289-'CBA Inputs'!P295,0)+IF(Scenario_Select="Scenario 4",'CBA Inputs'!P$304-'CBA Inputs'!P310,0)),0)*Q$55</f>
        <v>19384266</v>
      </c>
      <c r="R211" s="17">
        <f>IFERROR('Option inputs'!$F20*(IF(Scenario_Select="Scenario 1",'CBA Inputs'!Q$259-'CBA Inputs'!Q265,0)+IF(Scenario_Select="Scenario 2",'CBA Inputs'!Q$274-'CBA Inputs'!Q280,0)+IF(Scenario_Select="Scenario 3",'CBA Inputs'!Q$289-'CBA Inputs'!Q295,0)+IF(Scenario_Select="Scenario 4",'CBA Inputs'!Q$304-'CBA Inputs'!Q310,0)),0)*R$55</f>
        <v>6832288</v>
      </c>
      <c r="S211" s="17">
        <f>IFERROR('Option inputs'!$F20*(IF(Scenario_Select="Scenario 1",'CBA Inputs'!R$259-'CBA Inputs'!R265,0)+IF(Scenario_Select="Scenario 2",'CBA Inputs'!R$274-'CBA Inputs'!R280,0)+IF(Scenario_Select="Scenario 3",'CBA Inputs'!R$289-'CBA Inputs'!R295,0)+IF(Scenario_Select="Scenario 4",'CBA Inputs'!R$304-'CBA Inputs'!R310,0)),0)*S$55</f>
        <v>4195025</v>
      </c>
      <c r="T211" s="17">
        <f>IFERROR('Option inputs'!$F20*(IF(Scenario_Select="Scenario 1",'CBA Inputs'!S$259-'CBA Inputs'!S265,0)+IF(Scenario_Select="Scenario 2",'CBA Inputs'!S$274-'CBA Inputs'!S280,0)+IF(Scenario_Select="Scenario 3",'CBA Inputs'!S$289-'CBA Inputs'!S295,0)+IF(Scenario_Select="Scenario 4",'CBA Inputs'!S$304-'CBA Inputs'!S310,0)),0)*T$55</f>
        <v>10264177</v>
      </c>
      <c r="U211" s="17">
        <f>IFERROR('Option inputs'!$F20*(IF(Scenario_Select="Scenario 1",'CBA Inputs'!T$259-'CBA Inputs'!T265,0)+IF(Scenario_Select="Scenario 2",'CBA Inputs'!T$274-'CBA Inputs'!T280,0)+IF(Scenario_Select="Scenario 3",'CBA Inputs'!T$289-'CBA Inputs'!T295,0)+IF(Scenario_Select="Scenario 4",'CBA Inputs'!T$304-'CBA Inputs'!T310,0)),0)*U$55</f>
        <v>644382</v>
      </c>
      <c r="V211" s="17">
        <f>IFERROR('Option inputs'!$F20*(IF(Scenario_Select="Scenario 1",'CBA Inputs'!U$259-'CBA Inputs'!U265,0)+IF(Scenario_Select="Scenario 2",'CBA Inputs'!U$274-'CBA Inputs'!U280,0)+IF(Scenario_Select="Scenario 3",'CBA Inputs'!U$289-'CBA Inputs'!U295,0)+IF(Scenario_Select="Scenario 4",'CBA Inputs'!U$304-'CBA Inputs'!U310,0)),0)*V$55</f>
        <v>7928860</v>
      </c>
      <c r="W211" s="17">
        <f>IFERROR('Option inputs'!$F20*(IF(Scenario_Select="Scenario 1",'CBA Inputs'!V$259-'CBA Inputs'!V265,0)+IF(Scenario_Select="Scenario 2",'CBA Inputs'!V$274-'CBA Inputs'!V280,0)+IF(Scenario_Select="Scenario 3",'CBA Inputs'!V$289-'CBA Inputs'!V295,0)+IF(Scenario_Select="Scenario 4",'CBA Inputs'!V$304-'CBA Inputs'!V310,0)),0)*W$55</f>
        <v>9932208</v>
      </c>
      <c r="X211" s="17">
        <f>IFERROR('Option inputs'!$F20*(IF(Scenario_Select="Scenario 1",'CBA Inputs'!W$259-'CBA Inputs'!W265,0)+IF(Scenario_Select="Scenario 2",'CBA Inputs'!W$274-'CBA Inputs'!W280,0)+IF(Scenario_Select="Scenario 3",'CBA Inputs'!W$289-'CBA Inputs'!W295,0)+IF(Scenario_Select="Scenario 4",'CBA Inputs'!W$304-'CBA Inputs'!W310,0)),0)*X$55</f>
        <v>10481928</v>
      </c>
      <c r="Y211" s="17">
        <f>IFERROR('Option inputs'!$F20*(IF(Scenario_Select="Scenario 1",'CBA Inputs'!X$259-'CBA Inputs'!X265,0)+IF(Scenario_Select="Scenario 2",'CBA Inputs'!X$274-'CBA Inputs'!X280,0)+IF(Scenario_Select="Scenario 3",'CBA Inputs'!X$289-'CBA Inputs'!X295,0)+IF(Scenario_Select="Scenario 4",'CBA Inputs'!X$304-'CBA Inputs'!X310,0)),0)*Y$55</f>
        <v>36199876</v>
      </c>
      <c r="Z211" s="17">
        <f>IFERROR('Option inputs'!$F20*(IF(Scenario_Select="Scenario 1",'CBA Inputs'!Y$259-'CBA Inputs'!Y265,0)+IF(Scenario_Select="Scenario 2",'CBA Inputs'!Y$274-'CBA Inputs'!Y280,0)+IF(Scenario_Select="Scenario 3",'CBA Inputs'!Y$289-'CBA Inputs'!Y295,0)+IF(Scenario_Select="Scenario 4",'CBA Inputs'!Y$304-'CBA Inputs'!Y310,0)),0)*Z$55</f>
        <v>-135032</v>
      </c>
      <c r="AA211" s="17">
        <f>IFERROR('Option inputs'!$F20*(IF(Scenario_Select="Scenario 1",'CBA Inputs'!Z$259-'CBA Inputs'!Z265,0)+IF(Scenario_Select="Scenario 2",'CBA Inputs'!Z$274-'CBA Inputs'!Z280,0)+IF(Scenario_Select="Scenario 3",'CBA Inputs'!Z$289-'CBA Inputs'!Z295,0)+IF(Scenario_Select="Scenario 4",'CBA Inputs'!Z$304-'CBA Inputs'!Z310,0)),0)*AA$55</f>
        <v>-872612</v>
      </c>
      <c r="AB211" s="17">
        <f>IFERROR('Option inputs'!$F20*(IF(Scenario_Select="Scenario 1",'CBA Inputs'!AA$259-'CBA Inputs'!AA265,0)+IF(Scenario_Select="Scenario 2",'CBA Inputs'!AA$274-'CBA Inputs'!AA280,0)+IF(Scenario_Select="Scenario 3",'CBA Inputs'!AA$289-'CBA Inputs'!AA295,0)+IF(Scenario_Select="Scenario 4",'CBA Inputs'!AA$304-'CBA Inputs'!AA310,0)),0)*AB$55</f>
        <v>-8498095</v>
      </c>
      <c r="AC211" s="17">
        <f>IFERROR('Option inputs'!$F20*(IF(Scenario_Select="Scenario 1",'CBA Inputs'!AB$259-'CBA Inputs'!AB265,0)+IF(Scenario_Select="Scenario 2",'CBA Inputs'!AB$274-'CBA Inputs'!AB280,0)+IF(Scenario_Select="Scenario 3",'CBA Inputs'!AB$289-'CBA Inputs'!AB295,0)+IF(Scenario_Select="Scenario 4",'CBA Inputs'!AB$304-'CBA Inputs'!AB310,0)),0)*AC$55</f>
        <v>603353</v>
      </c>
      <c r="AD211" s="17">
        <f>IFERROR('Option inputs'!$F20*(IF(Scenario_Select="Scenario 1",'CBA Inputs'!AC$259-'CBA Inputs'!AC265,0)+IF(Scenario_Select="Scenario 2",'CBA Inputs'!AC$274-'CBA Inputs'!AC280,0)+IF(Scenario_Select="Scenario 3",'CBA Inputs'!AC$289-'CBA Inputs'!AC295,0)+IF(Scenario_Select="Scenario 4",'CBA Inputs'!AC$304-'CBA Inputs'!AC310,0)),0)*AD$55</f>
        <v>243572</v>
      </c>
      <c r="AE211" s="17">
        <f>IFERROR('Option inputs'!$F20*(IF(Scenario_Select="Scenario 1",'CBA Inputs'!AD$259-'CBA Inputs'!AD265,0)+IF(Scenario_Select="Scenario 2",'CBA Inputs'!AD$274-'CBA Inputs'!AD280,0)+IF(Scenario_Select="Scenario 3",'CBA Inputs'!AD$289-'CBA Inputs'!AD295,0)+IF(Scenario_Select="Scenario 4",'CBA Inputs'!AD$304-'CBA Inputs'!AD310,0)),0)*AE$55</f>
        <v>7339552</v>
      </c>
      <c r="AF211" s="17">
        <f>IFERROR('Option inputs'!$F20*(IF(Scenario_Select="Scenario 1",'CBA Inputs'!AE$259-'CBA Inputs'!AE265,0)+IF(Scenario_Select="Scenario 2",'CBA Inputs'!AE$274-'CBA Inputs'!AE280,0)+IF(Scenario_Select="Scenario 3",'CBA Inputs'!AE$289-'CBA Inputs'!AE295,0)+IF(Scenario_Select="Scenario 4",'CBA Inputs'!AE$304-'CBA Inputs'!AE310,0)),0)*AF$55</f>
        <v>-10211207</v>
      </c>
      <c r="AG211" s="17">
        <f>IFERROR('Option inputs'!$F20*(IF(Scenario_Select="Scenario 1",'CBA Inputs'!AF$259-'CBA Inputs'!AF265,0)+IF(Scenario_Select="Scenario 2",'CBA Inputs'!AF$274-'CBA Inputs'!AF280,0)+IF(Scenario_Select="Scenario 3",'CBA Inputs'!AF$289-'CBA Inputs'!AF295,0)+IF(Scenario_Select="Scenario 4",'CBA Inputs'!AF$304-'CBA Inputs'!AF310,0)),0)*AG$55</f>
        <v>0</v>
      </c>
      <c r="AH211" s="17">
        <f>IFERROR('Option inputs'!$F20*(IF(Scenario_Select="Scenario 1",'CBA Inputs'!AG$259-'CBA Inputs'!AG265,0)+IF(Scenario_Select="Scenario 2",'CBA Inputs'!AG$274-'CBA Inputs'!AG280,0)+IF(Scenario_Select="Scenario 3",'CBA Inputs'!AG$289-'CBA Inputs'!AG295,0)+IF(Scenario_Select="Scenario 4",'CBA Inputs'!AG$304-'CBA Inputs'!AG310,0)),0)*AH$55</f>
        <v>0</v>
      </c>
      <c r="AI211" s="17">
        <f>IFERROR('Option inputs'!$F20*(IF(Scenario_Select="Scenario 1",'CBA Inputs'!AH$259-'CBA Inputs'!AH265,0)+IF(Scenario_Select="Scenario 2",'CBA Inputs'!AH$274-'CBA Inputs'!AH280,0)+IF(Scenario_Select="Scenario 3",'CBA Inputs'!AH$289-'CBA Inputs'!AH295,0)+IF(Scenario_Select="Scenario 4",'CBA Inputs'!AH$304-'CBA Inputs'!AH310,0)),0)*AI$55</f>
        <v>0</v>
      </c>
      <c r="AJ211" s="17">
        <f>IFERROR('Option inputs'!$F20*(IF(Scenario_Select="Scenario 1",'CBA Inputs'!AI$259-'CBA Inputs'!AI265,0)+IF(Scenario_Select="Scenario 2",'CBA Inputs'!AI$274-'CBA Inputs'!AI280,0)+IF(Scenario_Select="Scenario 3",'CBA Inputs'!AI$289-'CBA Inputs'!AI295,0)+IF(Scenario_Select="Scenario 4",'CBA Inputs'!AI$304-'CBA Inputs'!AI310,0)),0)*AJ$55</f>
        <v>0</v>
      </c>
    </row>
    <row r="212" spans="2:36" x14ac:dyDescent="0.35">
      <c r="B212" s="9">
        <f>'Option inputs'!B21</f>
        <v>7</v>
      </c>
      <c r="C212" s="14" t="str">
        <f>+'Option inputs'!C21</f>
        <v>Option 3A</v>
      </c>
      <c r="D212" s="26"/>
      <c r="E212" s="12" t="s">
        <v>35</v>
      </c>
      <c r="F212" s="18">
        <f t="shared" si="49"/>
        <v>25917108.782006279</v>
      </c>
      <c r="G212" s="17">
        <f>IFERROR('Option inputs'!$F21*(IF(Scenario_Select="Scenario 1",'CBA Inputs'!F$259-'CBA Inputs'!F266,0)+IF(Scenario_Select="Scenario 2",'CBA Inputs'!F$274-'CBA Inputs'!F281,0)+IF(Scenario_Select="Scenario 3",'CBA Inputs'!F$289-'CBA Inputs'!F296,0)+IF(Scenario_Select="Scenario 4",'CBA Inputs'!F$304-'CBA Inputs'!F311,0)),0)*G$55</f>
        <v>0</v>
      </c>
      <c r="H212" s="17">
        <f>IFERROR('Option inputs'!$F21*(IF(Scenario_Select="Scenario 1",'CBA Inputs'!G$259-'CBA Inputs'!G266,0)+IF(Scenario_Select="Scenario 2",'CBA Inputs'!G$274-'CBA Inputs'!G281,0)+IF(Scenario_Select="Scenario 3",'CBA Inputs'!G$289-'CBA Inputs'!G296,0)+IF(Scenario_Select="Scenario 4",'CBA Inputs'!G$304-'CBA Inputs'!G311,0)),0)*H$55</f>
        <v>65</v>
      </c>
      <c r="I212" s="17">
        <f>IFERROR('Option inputs'!$F21*(IF(Scenario_Select="Scenario 1",'CBA Inputs'!H$259-'CBA Inputs'!H266,0)+IF(Scenario_Select="Scenario 2",'CBA Inputs'!H$274-'CBA Inputs'!H281,0)+IF(Scenario_Select="Scenario 3",'CBA Inputs'!H$289-'CBA Inputs'!H296,0)+IF(Scenario_Select="Scenario 4",'CBA Inputs'!H$304-'CBA Inputs'!H311,0)),0)*I$55</f>
        <v>79</v>
      </c>
      <c r="J212" s="17">
        <f>IFERROR('Option inputs'!$F21*(IF(Scenario_Select="Scenario 1",'CBA Inputs'!I$259-'CBA Inputs'!I266,0)+IF(Scenario_Select="Scenario 2",'CBA Inputs'!I$274-'CBA Inputs'!I281,0)+IF(Scenario_Select="Scenario 3",'CBA Inputs'!I$289-'CBA Inputs'!I296,0)+IF(Scenario_Select="Scenario 4",'CBA Inputs'!I$304-'CBA Inputs'!I311,0)),0)*J$55</f>
        <v>15</v>
      </c>
      <c r="K212" s="17">
        <f>IFERROR('Option inputs'!$F21*(IF(Scenario_Select="Scenario 1",'CBA Inputs'!J$259-'CBA Inputs'!J266,0)+IF(Scenario_Select="Scenario 2",'CBA Inputs'!J$274-'CBA Inputs'!J281,0)+IF(Scenario_Select="Scenario 3",'CBA Inputs'!J$289-'CBA Inputs'!J296,0)+IF(Scenario_Select="Scenario 4",'CBA Inputs'!J$304-'CBA Inputs'!J311,0)),0)*K$55</f>
        <v>-4040423</v>
      </c>
      <c r="L212" s="17">
        <f>IFERROR('Option inputs'!$F21*(IF(Scenario_Select="Scenario 1",'CBA Inputs'!K$259-'CBA Inputs'!K266,0)+IF(Scenario_Select="Scenario 2",'CBA Inputs'!K$274-'CBA Inputs'!K281,0)+IF(Scenario_Select="Scenario 3",'CBA Inputs'!K$289-'CBA Inputs'!K296,0)+IF(Scenario_Select="Scenario 4",'CBA Inputs'!K$304-'CBA Inputs'!K311,0)),0)*L$55</f>
        <v>3079557</v>
      </c>
      <c r="M212" s="17">
        <f>IFERROR('Option inputs'!$F21*(IF(Scenario_Select="Scenario 1",'CBA Inputs'!L$259-'CBA Inputs'!L266,0)+IF(Scenario_Select="Scenario 2",'CBA Inputs'!L$274-'CBA Inputs'!L281,0)+IF(Scenario_Select="Scenario 3",'CBA Inputs'!L$289-'CBA Inputs'!L296,0)+IF(Scenario_Select="Scenario 4",'CBA Inputs'!L$304-'CBA Inputs'!L311,0)),0)*M$55</f>
        <v>119707</v>
      </c>
      <c r="N212" s="17">
        <f>IFERROR('Option inputs'!$F21*(IF(Scenario_Select="Scenario 1",'CBA Inputs'!M$259-'CBA Inputs'!M266,0)+IF(Scenario_Select="Scenario 2",'CBA Inputs'!M$274-'CBA Inputs'!M281,0)+IF(Scenario_Select="Scenario 3",'CBA Inputs'!M$289-'CBA Inputs'!M296,0)+IF(Scenario_Select="Scenario 4",'CBA Inputs'!M$304-'CBA Inputs'!M311,0)),0)*N$55</f>
        <v>8356574</v>
      </c>
      <c r="O212" s="17">
        <f>IFERROR('Option inputs'!$F21*(IF(Scenario_Select="Scenario 1",'CBA Inputs'!N$259-'CBA Inputs'!N266,0)+IF(Scenario_Select="Scenario 2",'CBA Inputs'!N$274-'CBA Inputs'!N281,0)+IF(Scenario_Select="Scenario 3",'CBA Inputs'!N$289-'CBA Inputs'!N296,0)+IF(Scenario_Select="Scenario 4",'CBA Inputs'!N$304-'CBA Inputs'!N311,0)),0)*O$55</f>
        <v>218684</v>
      </c>
      <c r="P212" s="17">
        <f>IFERROR('Option inputs'!$F21*(IF(Scenario_Select="Scenario 1",'CBA Inputs'!O$259-'CBA Inputs'!O266,0)+IF(Scenario_Select="Scenario 2",'CBA Inputs'!O$274-'CBA Inputs'!O281,0)+IF(Scenario_Select="Scenario 3",'CBA Inputs'!O$289-'CBA Inputs'!O296,0)+IF(Scenario_Select="Scenario 4",'CBA Inputs'!O$304-'CBA Inputs'!O311,0)),0)*P$55</f>
        <v>8205498</v>
      </c>
      <c r="Q212" s="17">
        <f>IFERROR('Option inputs'!$F21*(IF(Scenario_Select="Scenario 1",'CBA Inputs'!P$259-'CBA Inputs'!P266,0)+IF(Scenario_Select="Scenario 2",'CBA Inputs'!P$274-'CBA Inputs'!P281,0)+IF(Scenario_Select="Scenario 3",'CBA Inputs'!P$289-'CBA Inputs'!P296,0)+IF(Scenario_Select="Scenario 4",'CBA Inputs'!P$304-'CBA Inputs'!P311,0)),0)*Q$55</f>
        <v>4407161</v>
      </c>
      <c r="R212" s="17">
        <f>IFERROR('Option inputs'!$F21*(IF(Scenario_Select="Scenario 1",'CBA Inputs'!Q$259-'CBA Inputs'!Q266,0)+IF(Scenario_Select="Scenario 2",'CBA Inputs'!Q$274-'CBA Inputs'!Q281,0)+IF(Scenario_Select="Scenario 3",'CBA Inputs'!Q$289-'CBA Inputs'!Q296,0)+IF(Scenario_Select="Scenario 4",'CBA Inputs'!Q$304-'CBA Inputs'!Q311,0)),0)*R$55</f>
        <v>4641866</v>
      </c>
      <c r="S212" s="17">
        <f>IFERROR('Option inputs'!$F21*(IF(Scenario_Select="Scenario 1",'CBA Inputs'!R$259-'CBA Inputs'!R266,0)+IF(Scenario_Select="Scenario 2",'CBA Inputs'!R$274-'CBA Inputs'!R281,0)+IF(Scenario_Select="Scenario 3",'CBA Inputs'!R$289-'CBA Inputs'!R296,0)+IF(Scenario_Select="Scenario 4",'CBA Inputs'!R$304-'CBA Inputs'!R311,0)),0)*S$55</f>
        <v>1764342</v>
      </c>
      <c r="T212" s="17">
        <f>IFERROR('Option inputs'!$F21*(IF(Scenario_Select="Scenario 1",'CBA Inputs'!S$259-'CBA Inputs'!S266,0)+IF(Scenario_Select="Scenario 2",'CBA Inputs'!S$274-'CBA Inputs'!S281,0)+IF(Scenario_Select="Scenario 3",'CBA Inputs'!S$289-'CBA Inputs'!S296,0)+IF(Scenario_Select="Scenario 4",'CBA Inputs'!S$304-'CBA Inputs'!S311,0)),0)*T$55</f>
        <v>3670406</v>
      </c>
      <c r="U212" s="17">
        <f>IFERROR('Option inputs'!$F21*(IF(Scenario_Select="Scenario 1",'CBA Inputs'!T$259-'CBA Inputs'!T266,0)+IF(Scenario_Select="Scenario 2",'CBA Inputs'!T$274-'CBA Inputs'!T281,0)+IF(Scenario_Select="Scenario 3",'CBA Inputs'!T$289-'CBA Inputs'!T296,0)+IF(Scenario_Select="Scenario 4",'CBA Inputs'!T$304-'CBA Inputs'!T311,0)),0)*U$55</f>
        <v>-1737758</v>
      </c>
      <c r="V212" s="17">
        <f>IFERROR('Option inputs'!$F21*(IF(Scenario_Select="Scenario 1",'CBA Inputs'!U$259-'CBA Inputs'!U266,0)+IF(Scenario_Select="Scenario 2",'CBA Inputs'!U$274-'CBA Inputs'!U281,0)+IF(Scenario_Select="Scenario 3",'CBA Inputs'!U$289-'CBA Inputs'!U296,0)+IF(Scenario_Select="Scenario 4",'CBA Inputs'!U$304-'CBA Inputs'!U311,0)),0)*V$55</f>
        <v>2408291</v>
      </c>
      <c r="W212" s="17">
        <f>IFERROR('Option inputs'!$F21*(IF(Scenario_Select="Scenario 1",'CBA Inputs'!V$259-'CBA Inputs'!V266,0)+IF(Scenario_Select="Scenario 2",'CBA Inputs'!V$274-'CBA Inputs'!V281,0)+IF(Scenario_Select="Scenario 3",'CBA Inputs'!V$289-'CBA Inputs'!V296,0)+IF(Scenario_Select="Scenario 4",'CBA Inputs'!V$304-'CBA Inputs'!V311,0)),0)*W$55</f>
        <v>-820358</v>
      </c>
      <c r="X212" s="17">
        <f>IFERROR('Option inputs'!$F21*(IF(Scenario_Select="Scenario 1",'CBA Inputs'!W$259-'CBA Inputs'!W266,0)+IF(Scenario_Select="Scenario 2",'CBA Inputs'!W$274-'CBA Inputs'!W281,0)+IF(Scenario_Select="Scenario 3",'CBA Inputs'!W$289-'CBA Inputs'!W296,0)+IF(Scenario_Select="Scenario 4",'CBA Inputs'!W$304-'CBA Inputs'!W311,0)),0)*X$55</f>
        <v>2702027</v>
      </c>
      <c r="Y212" s="17">
        <f>IFERROR('Option inputs'!$F21*(IF(Scenario_Select="Scenario 1",'CBA Inputs'!X$259-'CBA Inputs'!X266,0)+IF(Scenario_Select="Scenario 2",'CBA Inputs'!X$274-'CBA Inputs'!X281,0)+IF(Scenario_Select="Scenario 3",'CBA Inputs'!X$289-'CBA Inputs'!X296,0)+IF(Scenario_Select="Scenario 4",'CBA Inputs'!X$304-'CBA Inputs'!X311,0)),0)*Y$55</f>
        <v>18092375</v>
      </c>
      <c r="Z212" s="17">
        <f>IFERROR('Option inputs'!$F21*(IF(Scenario_Select="Scenario 1",'CBA Inputs'!Y$259-'CBA Inputs'!Y266,0)+IF(Scenario_Select="Scenario 2",'CBA Inputs'!Y$274-'CBA Inputs'!Y281,0)+IF(Scenario_Select="Scenario 3",'CBA Inputs'!Y$289-'CBA Inputs'!Y296,0)+IF(Scenario_Select="Scenario 4",'CBA Inputs'!Y$304-'CBA Inputs'!Y311,0)),0)*Z$55</f>
        <v>-54545</v>
      </c>
      <c r="AA212" s="17">
        <f>IFERROR('Option inputs'!$F21*(IF(Scenario_Select="Scenario 1",'CBA Inputs'!Z$259-'CBA Inputs'!Z266,0)+IF(Scenario_Select="Scenario 2",'CBA Inputs'!Z$274-'CBA Inputs'!Z281,0)+IF(Scenario_Select="Scenario 3",'CBA Inputs'!Z$289-'CBA Inputs'!Z296,0)+IF(Scenario_Select="Scenario 4",'CBA Inputs'!Z$304-'CBA Inputs'!Z311,0)),0)*AA$55</f>
        <v>-101903</v>
      </c>
      <c r="AB212" s="17">
        <f>IFERROR('Option inputs'!$F21*(IF(Scenario_Select="Scenario 1",'CBA Inputs'!AA$259-'CBA Inputs'!AA266,0)+IF(Scenario_Select="Scenario 2",'CBA Inputs'!AA$274-'CBA Inputs'!AA281,0)+IF(Scenario_Select="Scenario 3",'CBA Inputs'!AA$289-'CBA Inputs'!AA296,0)+IF(Scenario_Select="Scenario 4",'CBA Inputs'!AA$304-'CBA Inputs'!AA311,0)),0)*AB$55</f>
        <v>-3347622</v>
      </c>
      <c r="AC212" s="17">
        <f>IFERROR('Option inputs'!$F21*(IF(Scenario_Select="Scenario 1",'CBA Inputs'!AB$259-'CBA Inputs'!AB266,0)+IF(Scenario_Select="Scenario 2",'CBA Inputs'!AB$274-'CBA Inputs'!AB281,0)+IF(Scenario_Select="Scenario 3",'CBA Inputs'!AB$289-'CBA Inputs'!AB296,0)+IF(Scenario_Select="Scenario 4",'CBA Inputs'!AB$304-'CBA Inputs'!AB311,0)),0)*AC$55</f>
        <v>3831393</v>
      </c>
      <c r="AD212" s="17">
        <f>IFERROR('Option inputs'!$F21*(IF(Scenario_Select="Scenario 1",'CBA Inputs'!AC$259-'CBA Inputs'!AC266,0)+IF(Scenario_Select="Scenario 2",'CBA Inputs'!AC$274-'CBA Inputs'!AC281,0)+IF(Scenario_Select="Scenario 3",'CBA Inputs'!AC$289-'CBA Inputs'!AC296,0)+IF(Scenario_Select="Scenario 4",'CBA Inputs'!AC$304-'CBA Inputs'!AC311,0)),0)*AD$55</f>
        <v>136237</v>
      </c>
      <c r="AE212" s="17">
        <f>IFERROR('Option inputs'!$F21*(IF(Scenario_Select="Scenario 1",'CBA Inputs'!AD$259-'CBA Inputs'!AD266,0)+IF(Scenario_Select="Scenario 2",'CBA Inputs'!AD$274-'CBA Inputs'!AD281,0)+IF(Scenario_Select="Scenario 3",'CBA Inputs'!AD$289-'CBA Inputs'!AD296,0)+IF(Scenario_Select="Scenario 4",'CBA Inputs'!AD$304-'CBA Inputs'!AD311,0)),0)*AE$55</f>
        <v>5635285</v>
      </c>
      <c r="AF212" s="17">
        <f>IFERROR('Option inputs'!$F21*(IF(Scenario_Select="Scenario 1",'CBA Inputs'!AE$259-'CBA Inputs'!AE266,0)+IF(Scenario_Select="Scenario 2",'CBA Inputs'!AE$274-'CBA Inputs'!AE281,0)+IF(Scenario_Select="Scenario 3",'CBA Inputs'!AE$289-'CBA Inputs'!AE296,0)+IF(Scenario_Select="Scenario 4",'CBA Inputs'!AE$304-'CBA Inputs'!AE311,0)),0)*AF$55</f>
        <v>-1476678</v>
      </c>
      <c r="AG212" s="17">
        <f>IFERROR('Option inputs'!$F21*(IF(Scenario_Select="Scenario 1",'CBA Inputs'!AF$259-'CBA Inputs'!AF266,0)+IF(Scenario_Select="Scenario 2",'CBA Inputs'!AF$274-'CBA Inputs'!AF281,0)+IF(Scenario_Select="Scenario 3",'CBA Inputs'!AF$289-'CBA Inputs'!AF296,0)+IF(Scenario_Select="Scenario 4",'CBA Inputs'!AF$304-'CBA Inputs'!AF311,0)),0)*AG$55</f>
        <v>0</v>
      </c>
      <c r="AH212" s="17">
        <f>IFERROR('Option inputs'!$F21*(IF(Scenario_Select="Scenario 1",'CBA Inputs'!AG$259-'CBA Inputs'!AG266,0)+IF(Scenario_Select="Scenario 2",'CBA Inputs'!AG$274-'CBA Inputs'!AG281,0)+IF(Scenario_Select="Scenario 3",'CBA Inputs'!AG$289-'CBA Inputs'!AG296,0)+IF(Scenario_Select="Scenario 4",'CBA Inputs'!AG$304-'CBA Inputs'!AG311,0)),0)*AH$55</f>
        <v>0</v>
      </c>
      <c r="AI212" s="17">
        <f>IFERROR('Option inputs'!$F21*(IF(Scenario_Select="Scenario 1",'CBA Inputs'!AH$259-'CBA Inputs'!AH266,0)+IF(Scenario_Select="Scenario 2",'CBA Inputs'!AH$274-'CBA Inputs'!AH281,0)+IF(Scenario_Select="Scenario 3",'CBA Inputs'!AH$289-'CBA Inputs'!AH296,0)+IF(Scenario_Select="Scenario 4",'CBA Inputs'!AH$304-'CBA Inputs'!AH311,0)),0)*AI$55</f>
        <v>0</v>
      </c>
      <c r="AJ212" s="17">
        <f>IFERROR('Option inputs'!$F21*(IF(Scenario_Select="Scenario 1",'CBA Inputs'!AI$259-'CBA Inputs'!AI266,0)+IF(Scenario_Select="Scenario 2",'CBA Inputs'!AI$274-'CBA Inputs'!AI281,0)+IF(Scenario_Select="Scenario 3",'CBA Inputs'!AI$289-'CBA Inputs'!AI296,0)+IF(Scenario_Select="Scenario 4",'CBA Inputs'!AI$304-'CBA Inputs'!AI311,0)),0)*AJ$55</f>
        <v>0</v>
      </c>
    </row>
    <row r="213" spans="2:36" x14ac:dyDescent="0.35">
      <c r="B213" s="9">
        <f>'Option inputs'!B22</f>
        <v>8</v>
      </c>
      <c r="C213" s="14" t="str">
        <f>+'Option inputs'!C22</f>
        <v>Option 3B</v>
      </c>
      <c r="D213" s="26"/>
      <c r="E213" s="12" t="s">
        <v>35</v>
      </c>
      <c r="F213" s="18">
        <f t="shared" si="49"/>
        <v>54477328.358153135</v>
      </c>
      <c r="G213" s="17">
        <f>IFERROR('Option inputs'!$F22*(IF(Scenario_Select="Scenario 1",'CBA Inputs'!F$259-'CBA Inputs'!F267,0)+IF(Scenario_Select="Scenario 2",'CBA Inputs'!F$274-'CBA Inputs'!F282,0)+IF(Scenario_Select="Scenario 3",'CBA Inputs'!F$289-'CBA Inputs'!F297,0)+IF(Scenario_Select="Scenario 4",'CBA Inputs'!F$304-'CBA Inputs'!F312,0)),0)*G$55</f>
        <v>0</v>
      </c>
      <c r="H213" s="17">
        <f>IFERROR('Option inputs'!$F22*(IF(Scenario_Select="Scenario 1",'CBA Inputs'!G$259-'CBA Inputs'!G267,0)+IF(Scenario_Select="Scenario 2",'CBA Inputs'!G$274-'CBA Inputs'!G282,0)+IF(Scenario_Select="Scenario 3",'CBA Inputs'!G$289-'CBA Inputs'!G297,0)+IF(Scenario_Select="Scenario 4",'CBA Inputs'!G$304-'CBA Inputs'!G312,0)),0)*H$55</f>
        <v>810</v>
      </c>
      <c r="I213" s="17">
        <f>IFERROR('Option inputs'!$F22*(IF(Scenario_Select="Scenario 1",'CBA Inputs'!H$259-'CBA Inputs'!H267,0)+IF(Scenario_Select="Scenario 2",'CBA Inputs'!H$274-'CBA Inputs'!H282,0)+IF(Scenario_Select="Scenario 3",'CBA Inputs'!H$289-'CBA Inputs'!H297,0)+IF(Scenario_Select="Scenario 4",'CBA Inputs'!H$304-'CBA Inputs'!H312,0)),0)*I$55</f>
        <v>866</v>
      </c>
      <c r="J213" s="17">
        <f>IFERROR('Option inputs'!$F22*(IF(Scenario_Select="Scenario 1",'CBA Inputs'!I$259-'CBA Inputs'!I267,0)+IF(Scenario_Select="Scenario 2",'CBA Inputs'!I$274-'CBA Inputs'!I282,0)+IF(Scenario_Select="Scenario 3",'CBA Inputs'!I$289-'CBA Inputs'!I297,0)+IF(Scenario_Select="Scenario 4",'CBA Inputs'!I$304-'CBA Inputs'!I312,0)),0)*J$55</f>
        <v>836</v>
      </c>
      <c r="K213" s="17">
        <f>IFERROR('Option inputs'!$F22*(IF(Scenario_Select="Scenario 1",'CBA Inputs'!J$259-'CBA Inputs'!J267,0)+IF(Scenario_Select="Scenario 2",'CBA Inputs'!J$274-'CBA Inputs'!J282,0)+IF(Scenario_Select="Scenario 3",'CBA Inputs'!J$289-'CBA Inputs'!J297,0)+IF(Scenario_Select="Scenario 4",'CBA Inputs'!J$304-'CBA Inputs'!J312,0)),0)*K$55</f>
        <v>-4171311</v>
      </c>
      <c r="L213" s="17">
        <f>IFERROR('Option inputs'!$F22*(IF(Scenario_Select="Scenario 1",'CBA Inputs'!K$259-'CBA Inputs'!K267,0)+IF(Scenario_Select="Scenario 2",'CBA Inputs'!K$274-'CBA Inputs'!K282,0)+IF(Scenario_Select="Scenario 3",'CBA Inputs'!K$289-'CBA Inputs'!K297,0)+IF(Scenario_Select="Scenario 4",'CBA Inputs'!K$304-'CBA Inputs'!K312,0)),0)*L$55</f>
        <v>3137911</v>
      </c>
      <c r="M213" s="17">
        <f>IFERROR('Option inputs'!$F22*(IF(Scenario_Select="Scenario 1",'CBA Inputs'!L$259-'CBA Inputs'!L267,0)+IF(Scenario_Select="Scenario 2",'CBA Inputs'!L$274-'CBA Inputs'!L282,0)+IF(Scenario_Select="Scenario 3",'CBA Inputs'!L$289-'CBA Inputs'!L297,0)+IF(Scenario_Select="Scenario 4",'CBA Inputs'!L$304-'CBA Inputs'!L312,0)),0)*M$55</f>
        <v>120710</v>
      </c>
      <c r="N213" s="17">
        <f>IFERROR('Option inputs'!$F22*(IF(Scenario_Select="Scenario 1",'CBA Inputs'!M$259-'CBA Inputs'!M267,0)+IF(Scenario_Select="Scenario 2",'CBA Inputs'!M$274-'CBA Inputs'!M282,0)+IF(Scenario_Select="Scenario 3",'CBA Inputs'!M$289-'CBA Inputs'!M297,0)+IF(Scenario_Select="Scenario 4",'CBA Inputs'!M$304-'CBA Inputs'!M312,0)),0)*N$55</f>
        <v>10187651</v>
      </c>
      <c r="O213" s="17">
        <f>IFERROR('Option inputs'!$F22*(IF(Scenario_Select="Scenario 1",'CBA Inputs'!N$259-'CBA Inputs'!N267,0)+IF(Scenario_Select="Scenario 2",'CBA Inputs'!N$274-'CBA Inputs'!N282,0)+IF(Scenario_Select="Scenario 3",'CBA Inputs'!N$289-'CBA Inputs'!N297,0)+IF(Scenario_Select="Scenario 4",'CBA Inputs'!N$304-'CBA Inputs'!N312,0)),0)*O$55</f>
        <v>221789</v>
      </c>
      <c r="P213" s="17">
        <f>IFERROR('Option inputs'!$F22*(IF(Scenario_Select="Scenario 1",'CBA Inputs'!O$259-'CBA Inputs'!O267,0)+IF(Scenario_Select="Scenario 2",'CBA Inputs'!O$274-'CBA Inputs'!O282,0)+IF(Scenario_Select="Scenario 3",'CBA Inputs'!O$289-'CBA Inputs'!O297,0)+IF(Scenario_Select="Scenario 4",'CBA Inputs'!O$304-'CBA Inputs'!O312,0)),0)*P$55</f>
        <v>9487149</v>
      </c>
      <c r="Q213" s="17">
        <f>IFERROR('Option inputs'!$F22*(IF(Scenario_Select="Scenario 1",'CBA Inputs'!P$259-'CBA Inputs'!P267,0)+IF(Scenario_Select="Scenario 2",'CBA Inputs'!P$274-'CBA Inputs'!P282,0)+IF(Scenario_Select="Scenario 3",'CBA Inputs'!P$289-'CBA Inputs'!P297,0)+IF(Scenario_Select="Scenario 4",'CBA Inputs'!P$304-'CBA Inputs'!P312,0)),0)*Q$55</f>
        <v>19380827</v>
      </c>
      <c r="R213" s="17">
        <f>IFERROR('Option inputs'!$F22*(IF(Scenario_Select="Scenario 1",'CBA Inputs'!Q$259-'CBA Inputs'!Q267,0)+IF(Scenario_Select="Scenario 2",'CBA Inputs'!Q$274-'CBA Inputs'!Q282,0)+IF(Scenario_Select="Scenario 3",'CBA Inputs'!Q$289-'CBA Inputs'!Q297,0)+IF(Scenario_Select="Scenario 4",'CBA Inputs'!Q$304-'CBA Inputs'!Q312,0)),0)*R$55</f>
        <v>6833376</v>
      </c>
      <c r="S213" s="17">
        <f>IFERROR('Option inputs'!$F22*(IF(Scenario_Select="Scenario 1",'CBA Inputs'!R$259-'CBA Inputs'!R267,0)+IF(Scenario_Select="Scenario 2",'CBA Inputs'!R$274-'CBA Inputs'!R282,0)+IF(Scenario_Select="Scenario 3",'CBA Inputs'!R$289-'CBA Inputs'!R297,0)+IF(Scenario_Select="Scenario 4",'CBA Inputs'!R$304-'CBA Inputs'!R312,0)),0)*S$55</f>
        <v>4189863</v>
      </c>
      <c r="T213" s="17">
        <f>IFERROR('Option inputs'!$F22*(IF(Scenario_Select="Scenario 1",'CBA Inputs'!S$259-'CBA Inputs'!S267,0)+IF(Scenario_Select="Scenario 2",'CBA Inputs'!S$274-'CBA Inputs'!S282,0)+IF(Scenario_Select="Scenario 3",'CBA Inputs'!S$289-'CBA Inputs'!S297,0)+IF(Scenario_Select="Scenario 4",'CBA Inputs'!S$304-'CBA Inputs'!S312,0)),0)*T$55</f>
        <v>9479962</v>
      </c>
      <c r="U213" s="17">
        <f>IFERROR('Option inputs'!$F22*(IF(Scenario_Select="Scenario 1",'CBA Inputs'!T$259-'CBA Inputs'!T267,0)+IF(Scenario_Select="Scenario 2",'CBA Inputs'!T$274-'CBA Inputs'!T282,0)+IF(Scenario_Select="Scenario 3",'CBA Inputs'!T$289-'CBA Inputs'!T297,0)+IF(Scenario_Select="Scenario 4",'CBA Inputs'!T$304-'CBA Inputs'!T312,0)),0)*U$55</f>
        <v>634243</v>
      </c>
      <c r="V213" s="17">
        <f>IFERROR('Option inputs'!$F22*(IF(Scenario_Select="Scenario 1",'CBA Inputs'!U$259-'CBA Inputs'!U267,0)+IF(Scenario_Select="Scenario 2",'CBA Inputs'!U$274-'CBA Inputs'!U282,0)+IF(Scenario_Select="Scenario 3",'CBA Inputs'!U$289-'CBA Inputs'!U297,0)+IF(Scenario_Select="Scenario 4",'CBA Inputs'!U$304-'CBA Inputs'!U312,0)),0)*V$55</f>
        <v>7798860</v>
      </c>
      <c r="W213" s="17">
        <f>IFERROR('Option inputs'!$F22*(IF(Scenario_Select="Scenario 1",'CBA Inputs'!V$259-'CBA Inputs'!V267,0)+IF(Scenario_Select="Scenario 2",'CBA Inputs'!V$274-'CBA Inputs'!V282,0)+IF(Scenario_Select="Scenario 3",'CBA Inputs'!V$289-'CBA Inputs'!V297,0)+IF(Scenario_Select="Scenario 4",'CBA Inputs'!V$304-'CBA Inputs'!V312,0)),0)*W$55</f>
        <v>9403963</v>
      </c>
      <c r="X213" s="17">
        <f>IFERROR('Option inputs'!$F22*(IF(Scenario_Select="Scenario 1",'CBA Inputs'!W$259-'CBA Inputs'!W267,0)+IF(Scenario_Select="Scenario 2",'CBA Inputs'!W$274-'CBA Inputs'!W282,0)+IF(Scenario_Select="Scenario 3",'CBA Inputs'!W$289-'CBA Inputs'!W297,0)+IF(Scenario_Select="Scenario 4",'CBA Inputs'!W$304-'CBA Inputs'!W312,0)),0)*X$55</f>
        <v>10245189</v>
      </c>
      <c r="Y213" s="17">
        <f>IFERROR('Option inputs'!$F22*(IF(Scenario_Select="Scenario 1",'CBA Inputs'!X$259-'CBA Inputs'!X267,0)+IF(Scenario_Select="Scenario 2",'CBA Inputs'!X$274-'CBA Inputs'!X282,0)+IF(Scenario_Select="Scenario 3",'CBA Inputs'!X$289-'CBA Inputs'!X297,0)+IF(Scenario_Select="Scenario 4",'CBA Inputs'!X$304-'CBA Inputs'!X312,0)),0)*Y$55</f>
        <v>36467335</v>
      </c>
      <c r="Z213" s="17">
        <f>IFERROR('Option inputs'!$F22*(IF(Scenario_Select="Scenario 1",'CBA Inputs'!Y$259-'CBA Inputs'!Y267,0)+IF(Scenario_Select="Scenario 2",'CBA Inputs'!Y$274-'CBA Inputs'!Y282,0)+IF(Scenario_Select="Scenario 3",'CBA Inputs'!Y$289-'CBA Inputs'!Y297,0)+IF(Scenario_Select="Scenario 4",'CBA Inputs'!Y$304-'CBA Inputs'!Y312,0)),0)*Z$55</f>
        <v>-121914</v>
      </c>
      <c r="AA213" s="17">
        <f>IFERROR('Option inputs'!$F22*(IF(Scenario_Select="Scenario 1",'CBA Inputs'!Z$259-'CBA Inputs'!Z267,0)+IF(Scenario_Select="Scenario 2",'CBA Inputs'!Z$274-'CBA Inputs'!Z282,0)+IF(Scenario_Select="Scenario 3",'CBA Inputs'!Z$289-'CBA Inputs'!Z297,0)+IF(Scenario_Select="Scenario 4",'CBA Inputs'!Z$304-'CBA Inputs'!Z312,0)),0)*AA$55</f>
        <v>-817791</v>
      </c>
      <c r="AB213" s="17">
        <f>IFERROR('Option inputs'!$F22*(IF(Scenario_Select="Scenario 1",'CBA Inputs'!AA$259-'CBA Inputs'!AA267,0)+IF(Scenario_Select="Scenario 2",'CBA Inputs'!AA$274-'CBA Inputs'!AA282,0)+IF(Scenario_Select="Scenario 3",'CBA Inputs'!AA$289-'CBA Inputs'!AA297,0)+IF(Scenario_Select="Scenario 4",'CBA Inputs'!AA$304-'CBA Inputs'!AA312,0)),0)*AB$55</f>
        <v>-7945627</v>
      </c>
      <c r="AC213" s="17">
        <f>IFERROR('Option inputs'!$F22*(IF(Scenario_Select="Scenario 1",'CBA Inputs'!AB$259-'CBA Inputs'!AB267,0)+IF(Scenario_Select="Scenario 2",'CBA Inputs'!AB$274-'CBA Inputs'!AB282,0)+IF(Scenario_Select="Scenario 3",'CBA Inputs'!AB$289-'CBA Inputs'!AB297,0)+IF(Scenario_Select="Scenario 4",'CBA Inputs'!AB$304-'CBA Inputs'!AB312,0)),0)*AC$55</f>
        <v>767178</v>
      </c>
      <c r="AD213" s="17">
        <f>IFERROR('Option inputs'!$F22*(IF(Scenario_Select="Scenario 1",'CBA Inputs'!AC$259-'CBA Inputs'!AC267,0)+IF(Scenario_Select="Scenario 2",'CBA Inputs'!AC$274-'CBA Inputs'!AC282,0)+IF(Scenario_Select="Scenario 3",'CBA Inputs'!AC$289-'CBA Inputs'!AC297,0)+IF(Scenario_Select="Scenario 4",'CBA Inputs'!AC$304-'CBA Inputs'!AC312,0)),0)*AD$55</f>
        <v>247509</v>
      </c>
      <c r="AE213" s="17">
        <f>IFERROR('Option inputs'!$F22*(IF(Scenario_Select="Scenario 1",'CBA Inputs'!AD$259-'CBA Inputs'!AD267,0)+IF(Scenario_Select="Scenario 2",'CBA Inputs'!AD$274-'CBA Inputs'!AD282,0)+IF(Scenario_Select="Scenario 3",'CBA Inputs'!AD$289-'CBA Inputs'!AD297,0)+IF(Scenario_Select="Scenario 4",'CBA Inputs'!AD$304-'CBA Inputs'!AD312,0)),0)*AE$55</f>
        <v>7550791</v>
      </c>
      <c r="AF213" s="17">
        <f>IFERROR('Option inputs'!$F22*(IF(Scenario_Select="Scenario 1",'CBA Inputs'!AE$259-'CBA Inputs'!AE267,0)+IF(Scenario_Select="Scenario 2",'CBA Inputs'!AE$274-'CBA Inputs'!AE282,0)+IF(Scenario_Select="Scenario 3",'CBA Inputs'!AE$289-'CBA Inputs'!AE297,0)+IF(Scenario_Select="Scenario 4",'CBA Inputs'!AE$304-'CBA Inputs'!AE312,0)),0)*AF$55</f>
        <v>-9019450</v>
      </c>
      <c r="AG213" s="17">
        <f>IFERROR('Option inputs'!$F22*(IF(Scenario_Select="Scenario 1",'CBA Inputs'!AF$259-'CBA Inputs'!AF267,0)+IF(Scenario_Select="Scenario 2",'CBA Inputs'!AF$274-'CBA Inputs'!AF282,0)+IF(Scenario_Select="Scenario 3",'CBA Inputs'!AF$289-'CBA Inputs'!AF297,0)+IF(Scenario_Select="Scenario 4",'CBA Inputs'!AF$304-'CBA Inputs'!AF312,0)),0)*AG$55</f>
        <v>0</v>
      </c>
      <c r="AH213" s="17">
        <f>IFERROR('Option inputs'!$F22*(IF(Scenario_Select="Scenario 1",'CBA Inputs'!AG$259-'CBA Inputs'!AG267,0)+IF(Scenario_Select="Scenario 2",'CBA Inputs'!AG$274-'CBA Inputs'!AG282,0)+IF(Scenario_Select="Scenario 3",'CBA Inputs'!AG$289-'CBA Inputs'!AG297,0)+IF(Scenario_Select="Scenario 4",'CBA Inputs'!AG$304-'CBA Inputs'!AG312,0)),0)*AH$55</f>
        <v>0</v>
      </c>
      <c r="AI213" s="17">
        <f>IFERROR('Option inputs'!$F22*(IF(Scenario_Select="Scenario 1",'CBA Inputs'!AH$259-'CBA Inputs'!AH267,0)+IF(Scenario_Select="Scenario 2",'CBA Inputs'!AH$274-'CBA Inputs'!AH282,0)+IF(Scenario_Select="Scenario 3",'CBA Inputs'!AH$289-'CBA Inputs'!AH297,0)+IF(Scenario_Select="Scenario 4",'CBA Inputs'!AH$304-'CBA Inputs'!AH312,0)),0)*AI$55</f>
        <v>0</v>
      </c>
      <c r="AJ213" s="17">
        <f>IFERROR('Option inputs'!$F22*(IF(Scenario_Select="Scenario 1",'CBA Inputs'!AI$259-'CBA Inputs'!AI267,0)+IF(Scenario_Select="Scenario 2",'CBA Inputs'!AI$274-'CBA Inputs'!AI282,0)+IF(Scenario_Select="Scenario 3",'CBA Inputs'!AI$289-'CBA Inputs'!AI297,0)+IF(Scenario_Select="Scenario 4",'CBA Inputs'!AI$304-'CBA Inputs'!AI312,0)),0)*AJ$55</f>
        <v>0</v>
      </c>
    </row>
    <row r="214" spans="2:36" x14ac:dyDescent="0.35">
      <c r="B214" s="9">
        <f>'Option inputs'!B23</f>
        <v>9</v>
      </c>
      <c r="C214" s="14" t="str">
        <f>+'Option inputs'!C23</f>
        <v>Option 3C</v>
      </c>
      <c r="D214" s="26"/>
      <c r="E214" s="12" t="s">
        <v>35</v>
      </c>
      <c r="F214" s="18">
        <f t="shared" si="49"/>
        <v>61765342.742465407</v>
      </c>
      <c r="G214" s="17">
        <f>IFERROR('Option inputs'!$F23*(IF(Scenario_Select="Scenario 1",'CBA Inputs'!F$259-'CBA Inputs'!F268,0)+IF(Scenario_Select="Scenario 2",'CBA Inputs'!F$274-'CBA Inputs'!F283,0)+IF(Scenario_Select="Scenario 3",'CBA Inputs'!F$289-'CBA Inputs'!F298,0)+IF(Scenario_Select="Scenario 4",'CBA Inputs'!F$304-'CBA Inputs'!F313,0)),0)*G$55</f>
        <v>0</v>
      </c>
      <c r="H214" s="17">
        <f>IFERROR('Option inputs'!$F23*(IF(Scenario_Select="Scenario 1",'CBA Inputs'!G$259-'CBA Inputs'!G268,0)+IF(Scenario_Select="Scenario 2",'CBA Inputs'!G$274-'CBA Inputs'!G283,0)+IF(Scenario_Select="Scenario 3",'CBA Inputs'!G$289-'CBA Inputs'!G298,0)+IF(Scenario_Select="Scenario 4",'CBA Inputs'!G$304-'CBA Inputs'!G313,0)),0)*H$55</f>
        <v>-803</v>
      </c>
      <c r="I214" s="17">
        <f>IFERROR('Option inputs'!$F23*(IF(Scenario_Select="Scenario 1",'CBA Inputs'!H$259-'CBA Inputs'!H268,0)+IF(Scenario_Select="Scenario 2",'CBA Inputs'!H$274-'CBA Inputs'!H283,0)+IF(Scenario_Select="Scenario 3",'CBA Inputs'!H$289-'CBA Inputs'!H298,0)+IF(Scenario_Select="Scenario 4",'CBA Inputs'!H$304-'CBA Inputs'!H313,0)),0)*I$55</f>
        <v>-819</v>
      </c>
      <c r="J214" s="17">
        <f>IFERROR('Option inputs'!$F23*(IF(Scenario_Select="Scenario 1",'CBA Inputs'!I$259-'CBA Inputs'!I268,0)+IF(Scenario_Select="Scenario 2",'CBA Inputs'!I$274-'CBA Inputs'!I283,0)+IF(Scenario_Select="Scenario 3",'CBA Inputs'!I$289-'CBA Inputs'!I298,0)+IF(Scenario_Select="Scenario 4",'CBA Inputs'!I$304-'CBA Inputs'!I313,0)),0)*J$55</f>
        <v>-741</v>
      </c>
      <c r="K214" s="17">
        <f>IFERROR('Option inputs'!$F23*(IF(Scenario_Select="Scenario 1",'CBA Inputs'!J$259-'CBA Inputs'!J268,0)+IF(Scenario_Select="Scenario 2",'CBA Inputs'!J$274-'CBA Inputs'!J283,0)+IF(Scenario_Select="Scenario 3",'CBA Inputs'!J$289-'CBA Inputs'!J298,0)+IF(Scenario_Select="Scenario 4",'CBA Inputs'!J$304-'CBA Inputs'!J313,0)),0)*K$55</f>
        <v>-7833461</v>
      </c>
      <c r="L214" s="17">
        <f>IFERROR('Option inputs'!$F23*(IF(Scenario_Select="Scenario 1",'CBA Inputs'!K$259-'CBA Inputs'!K268,0)+IF(Scenario_Select="Scenario 2",'CBA Inputs'!K$274-'CBA Inputs'!K283,0)+IF(Scenario_Select="Scenario 3",'CBA Inputs'!K$289-'CBA Inputs'!K298,0)+IF(Scenario_Select="Scenario 4",'CBA Inputs'!K$304-'CBA Inputs'!K313,0)),0)*L$55</f>
        <v>5094725</v>
      </c>
      <c r="M214" s="17">
        <f>IFERROR('Option inputs'!$F23*(IF(Scenario_Select="Scenario 1",'CBA Inputs'!L$259-'CBA Inputs'!L268,0)+IF(Scenario_Select="Scenario 2",'CBA Inputs'!L$274-'CBA Inputs'!L283,0)+IF(Scenario_Select="Scenario 3",'CBA Inputs'!L$289-'CBA Inputs'!L298,0)+IF(Scenario_Select="Scenario 4",'CBA Inputs'!L$304-'CBA Inputs'!L313,0)),0)*M$55</f>
        <v>118650</v>
      </c>
      <c r="N214" s="17">
        <f>IFERROR('Option inputs'!$F23*(IF(Scenario_Select="Scenario 1",'CBA Inputs'!M$259-'CBA Inputs'!M268,0)+IF(Scenario_Select="Scenario 2",'CBA Inputs'!M$274-'CBA Inputs'!M283,0)+IF(Scenario_Select="Scenario 3",'CBA Inputs'!M$289-'CBA Inputs'!M298,0)+IF(Scenario_Select="Scenario 4",'CBA Inputs'!M$304-'CBA Inputs'!M313,0)),0)*N$55</f>
        <v>14887036</v>
      </c>
      <c r="O214" s="17">
        <f>IFERROR('Option inputs'!$F23*(IF(Scenario_Select="Scenario 1",'CBA Inputs'!N$259-'CBA Inputs'!N268,0)+IF(Scenario_Select="Scenario 2",'CBA Inputs'!N$274-'CBA Inputs'!N283,0)+IF(Scenario_Select="Scenario 3",'CBA Inputs'!N$289-'CBA Inputs'!N298,0)+IF(Scenario_Select="Scenario 4",'CBA Inputs'!N$304-'CBA Inputs'!N313,0)),0)*O$55</f>
        <v>219520</v>
      </c>
      <c r="P214" s="17">
        <f>IFERROR('Option inputs'!$F23*(IF(Scenario_Select="Scenario 1",'CBA Inputs'!O$259-'CBA Inputs'!O268,0)+IF(Scenario_Select="Scenario 2",'CBA Inputs'!O$274-'CBA Inputs'!O283,0)+IF(Scenario_Select="Scenario 3",'CBA Inputs'!O$289-'CBA Inputs'!O298,0)+IF(Scenario_Select="Scenario 4",'CBA Inputs'!O$304-'CBA Inputs'!O313,0)),0)*P$55</f>
        <v>18893327</v>
      </c>
      <c r="Q214" s="17">
        <f>IFERROR('Option inputs'!$F23*(IF(Scenario_Select="Scenario 1",'CBA Inputs'!P$259-'CBA Inputs'!P268,0)+IF(Scenario_Select="Scenario 2",'CBA Inputs'!P$274-'CBA Inputs'!P283,0)+IF(Scenario_Select="Scenario 3",'CBA Inputs'!P$289-'CBA Inputs'!P298,0)+IF(Scenario_Select="Scenario 4",'CBA Inputs'!P$304-'CBA Inputs'!P313,0)),0)*Q$55</f>
        <v>19371869</v>
      </c>
      <c r="R214" s="17">
        <f>IFERROR('Option inputs'!$F23*(IF(Scenario_Select="Scenario 1",'CBA Inputs'!Q$259-'CBA Inputs'!Q268,0)+IF(Scenario_Select="Scenario 2",'CBA Inputs'!Q$274-'CBA Inputs'!Q283,0)+IF(Scenario_Select="Scenario 3",'CBA Inputs'!Q$289-'CBA Inputs'!Q298,0)+IF(Scenario_Select="Scenario 4",'CBA Inputs'!Q$304-'CBA Inputs'!Q313,0)),0)*R$55</f>
        <v>6830661</v>
      </c>
      <c r="S214" s="17">
        <f>IFERROR('Option inputs'!$F23*(IF(Scenario_Select="Scenario 1",'CBA Inputs'!R$259-'CBA Inputs'!R268,0)+IF(Scenario_Select="Scenario 2",'CBA Inputs'!R$274-'CBA Inputs'!R283,0)+IF(Scenario_Select="Scenario 3",'CBA Inputs'!R$289-'CBA Inputs'!R298,0)+IF(Scenario_Select="Scenario 4",'CBA Inputs'!R$304-'CBA Inputs'!R313,0)),0)*S$55</f>
        <v>4187004</v>
      </c>
      <c r="T214" s="17">
        <f>IFERROR('Option inputs'!$F23*(IF(Scenario_Select="Scenario 1",'CBA Inputs'!S$259-'CBA Inputs'!S268,0)+IF(Scenario_Select="Scenario 2",'CBA Inputs'!S$274-'CBA Inputs'!S283,0)+IF(Scenario_Select="Scenario 3",'CBA Inputs'!S$289-'CBA Inputs'!S298,0)+IF(Scenario_Select="Scenario 4",'CBA Inputs'!S$304-'CBA Inputs'!S313,0)),0)*T$55</f>
        <v>9485135</v>
      </c>
      <c r="U214" s="17">
        <f>IFERROR('Option inputs'!$F23*(IF(Scenario_Select="Scenario 1",'CBA Inputs'!T$259-'CBA Inputs'!T268,0)+IF(Scenario_Select="Scenario 2",'CBA Inputs'!T$274-'CBA Inputs'!T283,0)+IF(Scenario_Select="Scenario 3",'CBA Inputs'!T$289-'CBA Inputs'!T298,0)+IF(Scenario_Select="Scenario 4",'CBA Inputs'!T$304-'CBA Inputs'!T313,0)),0)*U$55</f>
        <v>630664</v>
      </c>
      <c r="V214" s="17">
        <f>IFERROR('Option inputs'!$F23*(IF(Scenario_Select="Scenario 1",'CBA Inputs'!U$259-'CBA Inputs'!U268,0)+IF(Scenario_Select="Scenario 2",'CBA Inputs'!U$274-'CBA Inputs'!U283,0)+IF(Scenario_Select="Scenario 3",'CBA Inputs'!U$289-'CBA Inputs'!U298,0)+IF(Scenario_Select="Scenario 4",'CBA Inputs'!U$304-'CBA Inputs'!U313,0)),0)*V$55</f>
        <v>7799834</v>
      </c>
      <c r="W214" s="17">
        <f>IFERROR('Option inputs'!$F23*(IF(Scenario_Select="Scenario 1",'CBA Inputs'!V$259-'CBA Inputs'!V268,0)+IF(Scenario_Select="Scenario 2",'CBA Inputs'!V$274-'CBA Inputs'!V283,0)+IF(Scenario_Select="Scenario 3",'CBA Inputs'!V$289-'CBA Inputs'!V298,0)+IF(Scenario_Select="Scenario 4",'CBA Inputs'!V$304-'CBA Inputs'!V313,0)),0)*W$55</f>
        <v>9391960</v>
      </c>
      <c r="X214" s="17">
        <f>IFERROR('Option inputs'!$F23*(IF(Scenario_Select="Scenario 1",'CBA Inputs'!W$259-'CBA Inputs'!W268,0)+IF(Scenario_Select="Scenario 2",'CBA Inputs'!W$274-'CBA Inputs'!W283,0)+IF(Scenario_Select="Scenario 3",'CBA Inputs'!W$289-'CBA Inputs'!W298,0)+IF(Scenario_Select="Scenario 4",'CBA Inputs'!W$304-'CBA Inputs'!W313,0)),0)*X$55</f>
        <v>10242725</v>
      </c>
      <c r="Y214" s="17">
        <f>IFERROR('Option inputs'!$F23*(IF(Scenario_Select="Scenario 1",'CBA Inputs'!X$259-'CBA Inputs'!X268,0)+IF(Scenario_Select="Scenario 2",'CBA Inputs'!X$274-'CBA Inputs'!X283,0)+IF(Scenario_Select="Scenario 3",'CBA Inputs'!X$289-'CBA Inputs'!X298,0)+IF(Scenario_Select="Scenario 4",'CBA Inputs'!X$304-'CBA Inputs'!X313,0)),0)*Y$55</f>
        <v>36462734</v>
      </c>
      <c r="Z214" s="17">
        <f>IFERROR('Option inputs'!$F23*(IF(Scenario_Select="Scenario 1",'CBA Inputs'!Y$259-'CBA Inputs'!Y268,0)+IF(Scenario_Select="Scenario 2",'CBA Inputs'!Y$274-'CBA Inputs'!Y283,0)+IF(Scenario_Select="Scenario 3",'CBA Inputs'!Y$289-'CBA Inputs'!Y298,0)+IF(Scenario_Select="Scenario 4",'CBA Inputs'!Y$304-'CBA Inputs'!Y313,0)),0)*Z$55</f>
        <v>-126349</v>
      </c>
      <c r="AA214" s="17">
        <f>IFERROR('Option inputs'!$F23*(IF(Scenario_Select="Scenario 1",'CBA Inputs'!Z$259-'CBA Inputs'!Z268,0)+IF(Scenario_Select="Scenario 2",'CBA Inputs'!Z$274-'CBA Inputs'!Z283,0)+IF(Scenario_Select="Scenario 3",'CBA Inputs'!Z$289-'CBA Inputs'!Z298,0)+IF(Scenario_Select="Scenario 4",'CBA Inputs'!Z$304-'CBA Inputs'!Z313,0)),0)*AA$55</f>
        <v>-822446</v>
      </c>
      <c r="AB214" s="17">
        <f>IFERROR('Option inputs'!$F23*(IF(Scenario_Select="Scenario 1",'CBA Inputs'!AA$259-'CBA Inputs'!AA268,0)+IF(Scenario_Select="Scenario 2",'CBA Inputs'!AA$274-'CBA Inputs'!AA283,0)+IF(Scenario_Select="Scenario 3",'CBA Inputs'!AA$289-'CBA Inputs'!AA298,0)+IF(Scenario_Select="Scenario 4",'CBA Inputs'!AA$304-'CBA Inputs'!AA313,0)),0)*AB$55</f>
        <v>-7950997</v>
      </c>
      <c r="AC214" s="17">
        <f>IFERROR('Option inputs'!$F23*(IF(Scenario_Select="Scenario 1",'CBA Inputs'!AB$259-'CBA Inputs'!AB268,0)+IF(Scenario_Select="Scenario 2",'CBA Inputs'!AB$274-'CBA Inputs'!AB283,0)+IF(Scenario_Select="Scenario 3",'CBA Inputs'!AB$289-'CBA Inputs'!AB298,0)+IF(Scenario_Select="Scenario 4",'CBA Inputs'!AB$304-'CBA Inputs'!AB313,0)),0)*AC$55</f>
        <v>762849</v>
      </c>
      <c r="AD214" s="17">
        <f>IFERROR('Option inputs'!$F23*(IF(Scenario_Select="Scenario 1",'CBA Inputs'!AC$259-'CBA Inputs'!AC268,0)+IF(Scenario_Select="Scenario 2",'CBA Inputs'!AC$274-'CBA Inputs'!AC283,0)+IF(Scenario_Select="Scenario 3",'CBA Inputs'!AC$289-'CBA Inputs'!AC298,0)+IF(Scenario_Select="Scenario 4",'CBA Inputs'!AC$304-'CBA Inputs'!AC313,0)),0)*AD$55</f>
        <v>241918</v>
      </c>
      <c r="AE214" s="17">
        <f>IFERROR('Option inputs'!$F23*(IF(Scenario_Select="Scenario 1",'CBA Inputs'!AD$259-'CBA Inputs'!AD268,0)+IF(Scenario_Select="Scenario 2",'CBA Inputs'!AD$274-'CBA Inputs'!AD283,0)+IF(Scenario_Select="Scenario 3",'CBA Inputs'!AD$289-'CBA Inputs'!AD298,0)+IF(Scenario_Select="Scenario 4",'CBA Inputs'!AD$304-'CBA Inputs'!AD313,0)),0)*AE$55</f>
        <v>7544884</v>
      </c>
      <c r="AF214" s="17">
        <f>IFERROR('Option inputs'!$F23*(IF(Scenario_Select="Scenario 1",'CBA Inputs'!AE$259-'CBA Inputs'!AE268,0)+IF(Scenario_Select="Scenario 2",'CBA Inputs'!AE$274-'CBA Inputs'!AE283,0)+IF(Scenario_Select="Scenario 3",'CBA Inputs'!AE$289-'CBA Inputs'!AE298,0)+IF(Scenario_Select="Scenario 4",'CBA Inputs'!AE$304-'CBA Inputs'!AE313,0)),0)*AF$55</f>
        <v>-9021142</v>
      </c>
      <c r="AG214" s="17">
        <f>IFERROR('Option inputs'!$F23*(IF(Scenario_Select="Scenario 1",'CBA Inputs'!AF$259-'CBA Inputs'!AF268,0)+IF(Scenario_Select="Scenario 2",'CBA Inputs'!AF$274-'CBA Inputs'!AF283,0)+IF(Scenario_Select="Scenario 3",'CBA Inputs'!AF$289-'CBA Inputs'!AF298,0)+IF(Scenario_Select="Scenario 4",'CBA Inputs'!AF$304-'CBA Inputs'!AF313,0)),0)*AG$55</f>
        <v>0</v>
      </c>
      <c r="AH214" s="17">
        <f>IFERROR('Option inputs'!$F23*(IF(Scenario_Select="Scenario 1",'CBA Inputs'!AG$259-'CBA Inputs'!AG268,0)+IF(Scenario_Select="Scenario 2",'CBA Inputs'!AG$274-'CBA Inputs'!AG283,0)+IF(Scenario_Select="Scenario 3",'CBA Inputs'!AG$289-'CBA Inputs'!AG298,0)+IF(Scenario_Select="Scenario 4",'CBA Inputs'!AG$304-'CBA Inputs'!AG313,0)),0)*AH$55</f>
        <v>0</v>
      </c>
      <c r="AI214" s="17">
        <f>IFERROR('Option inputs'!$F23*(IF(Scenario_Select="Scenario 1",'CBA Inputs'!AH$259-'CBA Inputs'!AH268,0)+IF(Scenario_Select="Scenario 2",'CBA Inputs'!AH$274-'CBA Inputs'!AH283,0)+IF(Scenario_Select="Scenario 3",'CBA Inputs'!AH$289-'CBA Inputs'!AH298,0)+IF(Scenario_Select="Scenario 4",'CBA Inputs'!AH$304-'CBA Inputs'!AH313,0)),0)*AI$55</f>
        <v>0</v>
      </c>
      <c r="AJ214" s="17">
        <f>IFERROR('Option inputs'!$F23*(IF(Scenario_Select="Scenario 1",'CBA Inputs'!AI$259-'CBA Inputs'!AI268,0)+IF(Scenario_Select="Scenario 2",'CBA Inputs'!AI$274-'CBA Inputs'!AI283,0)+IF(Scenario_Select="Scenario 3",'CBA Inputs'!AI$289-'CBA Inputs'!AI298,0)+IF(Scenario_Select="Scenario 4",'CBA Inputs'!AI$304-'CBA Inputs'!AI313,0)),0)*AJ$55</f>
        <v>0</v>
      </c>
    </row>
    <row r="215" spans="2:36" x14ac:dyDescent="0.35">
      <c r="B215" s="9">
        <f>'Option inputs'!B24</f>
        <v>10</v>
      </c>
      <c r="C215" s="14" t="str">
        <f>+'Option inputs'!C24</f>
        <v>Option 4A</v>
      </c>
      <c r="D215" s="26"/>
      <c r="E215" s="12" t="s">
        <v>35</v>
      </c>
      <c r="F215" s="18">
        <f t="shared" si="49"/>
        <v>26424151.397399031</v>
      </c>
      <c r="G215" s="17">
        <f>IFERROR('Option inputs'!$F24*(IF(Scenario_Select="Scenario 1",'CBA Inputs'!F$259-'CBA Inputs'!F269,0)+IF(Scenario_Select="Scenario 2",'CBA Inputs'!F$274-'CBA Inputs'!F284,0)+IF(Scenario_Select="Scenario 3",'CBA Inputs'!F$289-'CBA Inputs'!F299,0)+IF(Scenario_Select="Scenario 4",'CBA Inputs'!F$304-'CBA Inputs'!F314,0)),0)*G$55</f>
        <v>0</v>
      </c>
      <c r="H215" s="17">
        <f>IFERROR('Option inputs'!$F24*(IF(Scenario_Select="Scenario 1",'CBA Inputs'!G$259-'CBA Inputs'!G269,0)+IF(Scenario_Select="Scenario 2",'CBA Inputs'!G$274-'CBA Inputs'!G284,0)+IF(Scenario_Select="Scenario 3",'CBA Inputs'!G$289-'CBA Inputs'!G299,0)+IF(Scenario_Select="Scenario 4",'CBA Inputs'!G$304-'CBA Inputs'!G314,0)),0)*H$55</f>
        <v>218</v>
      </c>
      <c r="I215" s="17">
        <f>IFERROR('Option inputs'!$F24*(IF(Scenario_Select="Scenario 1",'CBA Inputs'!H$259-'CBA Inputs'!H269,0)+IF(Scenario_Select="Scenario 2",'CBA Inputs'!H$274-'CBA Inputs'!H284,0)+IF(Scenario_Select="Scenario 3",'CBA Inputs'!H$289-'CBA Inputs'!H299,0)+IF(Scenario_Select="Scenario 4",'CBA Inputs'!H$304-'CBA Inputs'!H314,0)),0)*I$55</f>
        <v>240</v>
      </c>
      <c r="J215" s="17">
        <f>IFERROR('Option inputs'!$F24*(IF(Scenario_Select="Scenario 1",'CBA Inputs'!I$259-'CBA Inputs'!I269,0)+IF(Scenario_Select="Scenario 2",'CBA Inputs'!I$274-'CBA Inputs'!I284,0)+IF(Scenario_Select="Scenario 3",'CBA Inputs'!I$289-'CBA Inputs'!I299,0)+IF(Scenario_Select="Scenario 4",'CBA Inputs'!I$304-'CBA Inputs'!I314,0)),0)*J$55</f>
        <v>230</v>
      </c>
      <c r="K215" s="17">
        <f>IFERROR('Option inputs'!$F24*(IF(Scenario_Select="Scenario 1",'CBA Inputs'!J$259-'CBA Inputs'!J269,0)+IF(Scenario_Select="Scenario 2",'CBA Inputs'!J$274-'CBA Inputs'!J284,0)+IF(Scenario_Select="Scenario 3",'CBA Inputs'!J$289-'CBA Inputs'!J299,0)+IF(Scenario_Select="Scenario 4",'CBA Inputs'!J$304-'CBA Inputs'!J314,0)),0)*K$55</f>
        <v>-4040240</v>
      </c>
      <c r="L215" s="17">
        <f>IFERROR('Option inputs'!$F24*(IF(Scenario_Select="Scenario 1",'CBA Inputs'!K$259-'CBA Inputs'!K269,0)+IF(Scenario_Select="Scenario 2",'CBA Inputs'!K$274-'CBA Inputs'!K284,0)+IF(Scenario_Select="Scenario 3",'CBA Inputs'!K$289-'CBA Inputs'!K299,0)+IF(Scenario_Select="Scenario 4",'CBA Inputs'!K$304-'CBA Inputs'!K314,0)),0)*L$55</f>
        <v>3044426</v>
      </c>
      <c r="M215" s="17">
        <f>IFERROR('Option inputs'!$F24*(IF(Scenario_Select="Scenario 1",'CBA Inputs'!L$259-'CBA Inputs'!L269,0)+IF(Scenario_Select="Scenario 2",'CBA Inputs'!L$274-'CBA Inputs'!L284,0)+IF(Scenario_Select="Scenario 3",'CBA Inputs'!L$289-'CBA Inputs'!L299,0)+IF(Scenario_Select="Scenario 4",'CBA Inputs'!L$304-'CBA Inputs'!L314,0)),0)*M$55</f>
        <v>119929</v>
      </c>
      <c r="N215" s="17">
        <f>IFERROR('Option inputs'!$F24*(IF(Scenario_Select="Scenario 1",'CBA Inputs'!M$259-'CBA Inputs'!M269,0)+IF(Scenario_Select="Scenario 2",'CBA Inputs'!M$274-'CBA Inputs'!M284,0)+IF(Scenario_Select="Scenario 3",'CBA Inputs'!M$289-'CBA Inputs'!M299,0)+IF(Scenario_Select="Scenario 4",'CBA Inputs'!M$304-'CBA Inputs'!M314,0)),0)*N$55</f>
        <v>9912006</v>
      </c>
      <c r="O215" s="17">
        <f>IFERROR('Option inputs'!$F24*(IF(Scenario_Select="Scenario 1",'CBA Inputs'!N$259-'CBA Inputs'!N269,0)+IF(Scenario_Select="Scenario 2",'CBA Inputs'!N$274-'CBA Inputs'!N284,0)+IF(Scenario_Select="Scenario 3",'CBA Inputs'!N$289-'CBA Inputs'!N299,0)+IF(Scenario_Select="Scenario 4",'CBA Inputs'!N$304-'CBA Inputs'!N314,0)),0)*O$55</f>
        <v>220919</v>
      </c>
      <c r="P215" s="17">
        <f>IFERROR('Option inputs'!$F24*(IF(Scenario_Select="Scenario 1",'CBA Inputs'!O$259-'CBA Inputs'!O269,0)+IF(Scenario_Select="Scenario 2",'CBA Inputs'!O$274-'CBA Inputs'!O284,0)+IF(Scenario_Select="Scenario 3",'CBA Inputs'!O$289-'CBA Inputs'!O299,0)+IF(Scenario_Select="Scenario 4",'CBA Inputs'!O$304-'CBA Inputs'!O314,0)),0)*P$55</f>
        <v>9512226</v>
      </c>
      <c r="Q215" s="17">
        <f>IFERROR('Option inputs'!$F24*(IF(Scenario_Select="Scenario 1",'CBA Inputs'!P$259-'CBA Inputs'!P269,0)+IF(Scenario_Select="Scenario 2",'CBA Inputs'!P$274-'CBA Inputs'!P284,0)+IF(Scenario_Select="Scenario 3",'CBA Inputs'!P$289-'CBA Inputs'!P299,0)+IF(Scenario_Select="Scenario 4",'CBA Inputs'!P$304-'CBA Inputs'!P314,0)),0)*Q$55</f>
        <v>6015067</v>
      </c>
      <c r="R215" s="17">
        <f>IFERROR('Option inputs'!$F24*(IF(Scenario_Select="Scenario 1",'CBA Inputs'!Q$259-'CBA Inputs'!Q269,0)+IF(Scenario_Select="Scenario 2",'CBA Inputs'!Q$274-'CBA Inputs'!Q284,0)+IF(Scenario_Select="Scenario 3",'CBA Inputs'!Q$289-'CBA Inputs'!Q299,0)+IF(Scenario_Select="Scenario 4",'CBA Inputs'!Q$304-'CBA Inputs'!Q314,0)),0)*R$55</f>
        <v>5079885</v>
      </c>
      <c r="S215" s="17">
        <f>IFERROR('Option inputs'!$F24*(IF(Scenario_Select="Scenario 1",'CBA Inputs'!R$259-'CBA Inputs'!R269,0)+IF(Scenario_Select="Scenario 2",'CBA Inputs'!R$274-'CBA Inputs'!R284,0)+IF(Scenario_Select="Scenario 3",'CBA Inputs'!R$289-'CBA Inputs'!R299,0)+IF(Scenario_Select="Scenario 4",'CBA Inputs'!R$304-'CBA Inputs'!R314,0)),0)*S$55</f>
        <v>1425505</v>
      </c>
      <c r="T215" s="17">
        <f>IFERROR('Option inputs'!$F24*(IF(Scenario_Select="Scenario 1",'CBA Inputs'!S$259-'CBA Inputs'!S269,0)+IF(Scenario_Select="Scenario 2",'CBA Inputs'!S$274-'CBA Inputs'!S284,0)+IF(Scenario_Select="Scenario 3",'CBA Inputs'!S$289-'CBA Inputs'!S299,0)+IF(Scenario_Select="Scenario 4",'CBA Inputs'!S$304-'CBA Inputs'!S314,0)),0)*T$55</f>
        <v>2103913</v>
      </c>
      <c r="U215" s="17">
        <f>IFERROR('Option inputs'!$F24*(IF(Scenario_Select="Scenario 1",'CBA Inputs'!T$259-'CBA Inputs'!T269,0)+IF(Scenario_Select="Scenario 2",'CBA Inputs'!T$274-'CBA Inputs'!T284,0)+IF(Scenario_Select="Scenario 3",'CBA Inputs'!T$289-'CBA Inputs'!T299,0)+IF(Scenario_Select="Scenario 4",'CBA Inputs'!T$304-'CBA Inputs'!T314,0)),0)*U$55</f>
        <v>-1641286</v>
      </c>
      <c r="V215" s="17">
        <f>IFERROR('Option inputs'!$F24*(IF(Scenario_Select="Scenario 1",'CBA Inputs'!U$259-'CBA Inputs'!U269,0)+IF(Scenario_Select="Scenario 2",'CBA Inputs'!U$274-'CBA Inputs'!U284,0)+IF(Scenario_Select="Scenario 3",'CBA Inputs'!U$289-'CBA Inputs'!U299,0)+IF(Scenario_Select="Scenario 4",'CBA Inputs'!U$304-'CBA Inputs'!U314,0)),0)*V$55</f>
        <v>2390870</v>
      </c>
      <c r="W215" s="17">
        <f>IFERROR('Option inputs'!$F24*(IF(Scenario_Select="Scenario 1",'CBA Inputs'!V$259-'CBA Inputs'!V269,0)+IF(Scenario_Select="Scenario 2",'CBA Inputs'!V$274-'CBA Inputs'!V284,0)+IF(Scenario_Select="Scenario 3",'CBA Inputs'!V$289-'CBA Inputs'!V299,0)+IF(Scenario_Select="Scenario 4",'CBA Inputs'!V$304-'CBA Inputs'!V314,0)),0)*W$55</f>
        <v>-884278</v>
      </c>
      <c r="X215" s="17">
        <f>IFERROR('Option inputs'!$F24*(IF(Scenario_Select="Scenario 1",'CBA Inputs'!W$259-'CBA Inputs'!W269,0)+IF(Scenario_Select="Scenario 2",'CBA Inputs'!W$274-'CBA Inputs'!W284,0)+IF(Scenario_Select="Scenario 3",'CBA Inputs'!W$289-'CBA Inputs'!W299,0)+IF(Scenario_Select="Scenario 4",'CBA Inputs'!W$304-'CBA Inputs'!W314,0)),0)*X$55</f>
        <v>1555861</v>
      </c>
      <c r="Y215" s="17">
        <f>IFERROR('Option inputs'!$F24*(IF(Scenario_Select="Scenario 1",'CBA Inputs'!X$259-'CBA Inputs'!X269,0)+IF(Scenario_Select="Scenario 2",'CBA Inputs'!X$274-'CBA Inputs'!X284,0)+IF(Scenario_Select="Scenario 3",'CBA Inputs'!X$289-'CBA Inputs'!X299,0)+IF(Scenario_Select="Scenario 4",'CBA Inputs'!X$304-'CBA Inputs'!X314,0)),0)*Y$55</f>
        <v>13586760</v>
      </c>
      <c r="Z215" s="17">
        <f>IFERROR('Option inputs'!$F24*(IF(Scenario_Select="Scenario 1",'CBA Inputs'!Y$259-'CBA Inputs'!Y269,0)+IF(Scenario_Select="Scenario 2",'CBA Inputs'!Y$274-'CBA Inputs'!Y284,0)+IF(Scenario_Select="Scenario 3",'CBA Inputs'!Y$289-'CBA Inputs'!Y299,0)+IF(Scenario_Select="Scenario 4",'CBA Inputs'!Y$304-'CBA Inputs'!Y314,0)),0)*Z$55</f>
        <v>-54322</v>
      </c>
      <c r="AA215" s="17">
        <f>IFERROR('Option inputs'!$F24*(IF(Scenario_Select="Scenario 1",'CBA Inputs'!Z$259-'CBA Inputs'!Z269,0)+IF(Scenario_Select="Scenario 2",'CBA Inputs'!Z$274-'CBA Inputs'!Z284,0)+IF(Scenario_Select="Scenario 3",'CBA Inputs'!Z$289-'CBA Inputs'!Z299,0)+IF(Scenario_Select="Scenario 4",'CBA Inputs'!Z$304-'CBA Inputs'!Z314,0)),0)*AA$55</f>
        <v>-72406</v>
      </c>
      <c r="AB215" s="17">
        <f>IFERROR('Option inputs'!$F24*(IF(Scenario_Select="Scenario 1",'CBA Inputs'!AA$259-'CBA Inputs'!AA269,0)+IF(Scenario_Select="Scenario 2",'CBA Inputs'!AA$274-'CBA Inputs'!AA284,0)+IF(Scenario_Select="Scenario 3",'CBA Inputs'!AA$289-'CBA Inputs'!AA299,0)+IF(Scenario_Select="Scenario 4",'CBA Inputs'!AA$304-'CBA Inputs'!AA314,0)),0)*AB$55</f>
        <v>-2699233</v>
      </c>
      <c r="AC215" s="17">
        <f>IFERROR('Option inputs'!$F24*(IF(Scenario_Select="Scenario 1",'CBA Inputs'!AB$259-'CBA Inputs'!AB269,0)+IF(Scenario_Select="Scenario 2",'CBA Inputs'!AB$274-'CBA Inputs'!AB284,0)+IF(Scenario_Select="Scenario 3",'CBA Inputs'!AB$289-'CBA Inputs'!AB299,0)+IF(Scenario_Select="Scenario 4",'CBA Inputs'!AB$304-'CBA Inputs'!AB314,0)),0)*AC$55</f>
        <v>4739959</v>
      </c>
      <c r="AD215" s="17">
        <f>IFERROR('Option inputs'!$F24*(IF(Scenario_Select="Scenario 1",'CBA Inputs'!AC$259-'CBA Inputs'!AC269,0)+IF(Scenario_Select="Scenario 2",'CBA Inputs'!AC$274-'CBA Inputs'!AC284,0)+IF(Scenario_Select="Scenario 3",'CBA Inputs'!AC$289-'CBA Inputs'!AC299,0)+IF(Scenario_Select="Scenario 4",'CBA Inputs'!AC$304-'CBA Inputs'!AC314,0)),0)*AD$55</f>
        <v>141107</v>
      </c>
      <c r="AE215" s="17">
        <f>IFERROR('Option inputs'!$F24*(IF(Scenario_Select="Scenario 1",'CBA Inputs'!AD$259-'CBA Inputs'!AD269,0)+IF(Scenario_Select="Scenario 2",'CBA Inputs'!AD$274-'CBA Inputs'!AD284,0)+IF(Scenario_Select="Scenario 3",'CBA Inputs'!AD$289-'CBA Inputs'!AD299,0)+IF(Scenario_Select="Scenario 4",'CBA Inputs'!AD$304-'CBA Inputs'!AD314,0)),0)*AE$55</f>
        <v>5739773</v>
      </c>
      <c r="AF215" s="17">
        <f>IFERROR('Option inputs'!$F24*(IF(Scenario_Select="Scenario 1",'CBA Inputs'!AE$259-'CBA Inputs'!AE269,0)+IF(Scenario_Select="Scenario 2",'CBA Inputs'!AE$274-'CBA Inputs'!AE284,0)+IF(Scenario_Select="Scenario 3",'CBA Inputs'!AE$289-'CBA Inputs'!AE299,0)+IF(Scenario_Select="Scenario 4",'CBA Inputs'!AE$304-'CBA Inputs'!AE314,0)),0)*AF$55</f>
        <v>-1380974</v>
      </c>
      <c r="AG215" s="17">
        <f>IFERROR('Option inputs'!$F24*(IF(Scenario_Select="Scenario 1",'CBA Inputs'!AF$259-'CBA Inputs'!AF269,0)+IF(Scenario_Select="Scenario 2",'CBA Inputs'!AF$274-'CBA Inputs'!AF284,0)+IF(Scenario_Select="Scenario 3",'CBA Inputs'!AF$289-'CBA Inputs'!AF299,0)+IF(Scenario_Select="Scenario 4",'CBA Inputs'!AF$304-'CBA Inputs'!AF314,0)),0)*AG$55</f>
        <v>0</v>
      </c>
      <c r="AH215" s="17">
        <f>IFERROR('Option inputs'!$F24*(IF(Scenario_Select="Scenario 1",'CBA Inputs'!AG$259-'CBA Inputs'!AG269,0)+IF(Scenario_Select="Scenario 2",'CBA Inputs'!AG$274-'CBA Inputs'!AG284,0)+IF(Scenario_Select="Scenario 3",'CBA Inputs'!AG$289-'CBA Inputs'!AG299,0)+IF(Scenario_Select="Scenario 4",'CBA Inputs'!AG$304-'CBA Inputs'!AG314,0)),0)*AH$55</f>
        <v>0</v>
      </c>
      <c r="AI215" s="17">
        <f>IFERROR('Option inputs'!$F24*(IF(Scenario_Select="Scenario 1",'CBA Inputs'!AH$259-'CBA Inputs'!AH269,0)+IF(Scenario_Select="Scenario 2",'CBA Inputs'!AH$274-'CBA Inputs'!AH284,0)+IF(Scenario_Select="Scenario 3",'CBA Inputs'!AH$289-'CBA Inputs'!AH299,0)+IF(Scenario_Select="Scenario 4",'CBA Inputs'!AH$304-'CBA Inputs'!AH314,0)),0)*AI$55</f>
        <v>0</v>
      </c>
      <c r="AJ215" s="17">
        <f>IFERROR('Option inputs'!$F24*(IF(Scenario_Select="Scenario 1",'CBA Inputs'!AI$259-'CBA Inputs'!AI269,0)+IF(Scenario_Select="Scenario 2",'CBA Inputs'!AI$274-'CBA Inputs'!AI284,0)+IF(Scenario_Select="Scenario 3",'CBA Inputs'!AI$289-'CBA Inputs'!AI299,0)+IF(Scenario_Select="Scenario 4",'CBA Inputs'!AI$304-'CBA Inputs'!AI314,0)),0)*AJ$55</f>
        <v>0</v>
      </c>
    </row>
    <row r="216" spans="2:36" x14ac:dyDescent="0.35">
      <c r="B216" s="9">
        <f>'Option inputs'!B25</f>
        <v>11</v>
      </c>
      <c r="C216" s="14" t="str">
        <f>+'Option inputs'!C25</f>
        <v>Option 4B</v>
      </c>
      <c r="D216" s="26"/>
      <c r="E216" s="12" t="s">
        <v>35</v>
      </c>
      <c r="F216" s="18">
        <f t="shared" si="49"/>
        <v>60030856.02537445</v>
      </c>
      <c r="G216" s="17">
        <f>IFERROR('Option inputs'!$F25*(IF(Scenario_Select="Scenario 1",'CBA Inputs'!F$259-'CBA Inputs'!F270,0)+IF(Scenario_Select="Scenario 2",'CBA Inputs'!F$274-'CBA Inputs'!F285,0)+IF(Scenario_Select="Scenario 3",'CBA Inputs'!F$289-'CBA Inputs'!F300,0)+IF(Scenario_Select="Scenario 4",'CBA Inputs'!F$304-'CBA Inputs'!F315,0)),0)*G$55</f>
        <v>0</v>
      </c>
      <c r="H216" s="17">
        <f>IFERROR('Option inputs'!$F25*(IF(Scenario_Select="Scenario 1",'CBA Inputs'!G$259-'CBA Inputs'!G270,0)+IF(Scenario_Select="Scenario 2",'CBA Inputs'!G$274-'CBA Inputs'!G285,0)+IF(Scenario_Select="Scenario 3",'CBA Inputs'!G$289-'CBA Inputs'!G300,0)+IF(Scenario_Select="Scenario 4",'CBA Inputs'!G$304-'CBA Inputs'!G315,0)),0)*H$55</f>
        <v>275</v>
      </c>
      <c r="I216" s="17">
        <f>IFERROR('Option inputs'!$F25*(IF(Scenario_Select="Scenario 1",'CBA Inputs'!H$259-'CBA Inputs'!H270,0)+IF(Scenario_Select="Scenario 2",'CBA Inputs'!H$274-'CBA Inputs'!H285,0)+IF(Scenario_Select="Scenario 3",'CBA Inputs'!H$289-'CBA Inputs'!H300,0)+IF(Scenario_Select="Scenario 4",'CBA Inputs'!H$304-'CBA Inputs'!H315,0)),0)*I$55</f>
        <v>304</v>
      </c>
      <c r="J216" s="17">
        <f>IFERROR('Option inputs'!$F25*(IF(Scenario_Select="Scenario 1",'CBA Inputs'!I$259-'CBA Inputs'!I270,0)+IF(Scenario_Select="Scenario 2",'CBA Inputs'!I$274-'CBA Inputs'!I285,0)+IF(Scenario_Select="Scenario 3",'CBA Inputs'!I$289-'CBA Inputs'!I300,0)+IF(Scenario_Select="Scenario 4",'CBA Inputs'!I$304-'CBA Inputs'!I315,0)),0)*J$55</f>
        <v>276</v>
      </c>
      <c r="K216" s="17">
        <f>IFERROR('Option inputs'!$F25*(IF(Scenario_Select="Scenario 1",'CBA Inputs'!J$259-'CBA Inputs'!J270,0)+IF(Scenario_Select="Scenario 2",'CBA Inputs'!J$274-'CBA Inputs'!J285,0)+IF(Scenario_Select="Scenario 3",'CBA Inputs'!J$289-'CBA Inputs'!J300,0)+IF(Scenario_Select="Scenario 4",'CBA Inputs'!J$304-'CBA Inputs'!J315,0)),0)*K$55</f>
        <v>-5191671</v>
      </c>
      <c r="L216" s="17">
        <f>IFERROR('Option inputs'!$F25*(IF(Scenario_Select="Scenario 1",'CBA Inputs'!K$259-'CBA Inputs'!K270,0)+IF(Scenario_Select="Scenario 2",'CBA Inputs'!K$274-'CBA Inputs'!K285,0)+IF(Scenario_Select="Scenario 3",'CBA Inputs'!K$289-'CBA Inputs'!K300,0)+IF(Scenario_Select="Scenario 4",'CBA Inputs'!K$304-'CBA Inputs'!K315,0)),0)*L$55</f>
        <v>3168137</v>
      </c>
      <c r="M216" s="17">
        <f>IFERROR('Option inputs'!$F25*(IF(Scenario_Select="Scenario 1",'CBA Inputs'!L$259-'CBA Inputs'!L270,0)+IF(Scenario_Select="Scenario 2",'CBA Inputs'!L$274-'CBA Inputs'!L285,0)+IF(Scenario_Select="Scenario 3",'CBA Inputs'!L$289-'CBA Inputs'!L300,0)+IF(Scenario_Select="Scenario 4",'CBA Inputs'!L$304-'CBA Inputs'!L315,0)),0)*M$55</f>
        <v>120000</v>
      </c>
      <c r="N216" s="17">
        <f>IFERROR('Option inputs'!$F25*(IF(Scenario_Select="Scenario 1",'CBA Inputs'!M$259-'CBA Inputs'!M270,0)+IF(Scenario_Select="Scenario 2",'CBA Inputs'!M$274-'CBA Inputs'!M285,0)+IF(Scenario_Select="Scenario 3",'CBA Inputs'!M$289-'CBA Inputs'!M300,0)+IF(Scenario_Select="Scenario 4",'CBA Inputs'!M$304-'CBA Inputs'!M315,0)),0)*N$55</f>
        <v>13488022</v>
      </c>
      <c r="O216" s="17">
        <f>IFERROR('Option inputs'!$F25*(IF(Scenario_Select="Scenario 1",'CBA Inputs'!N$259-'CBA Inputs'!N270,0)+IF(Scenario_Select="Scenario 2",'CBA Inputs'!N$274-'CBA Inputs'!N285,0)+IF(Scenario_Select="Scenario 3",'CBA Inputs'!N$289-'CBA Inputs'!N300,0)+IF(Scenario_Select="Scenario 4",'CBA Inputs'!N$304-'CBA Inputs'!N315,0)),0)*O$55</f>
        <v>221000</v>
      </c>
      <c r="P216" s="17">
        <f>IFERROR('Option inputs'!$F25*(IF(Scenario_Select="Scenario 1",'CBA Inputs'!O$259-'CBA Inputs'!O270,0)+IF(Scenario_Select="Scenario 2",'CBA Inputs'!O$274-'CBA Inputs'!O285,0)+IF(Scenario_Select="Scenario 3",'CBA Inputs'!O$289-'CBA Inputs'!O300,0)+IF(Scenario_Select="Scenario 4",'CBA Inputs'!O$304-'CBA Inputs'!O315,0)),0)*P$55</f>
        <v>11039313</v>
      </c>
      <c r="Q216" s="17">
        <f>IFERROR('Option inputs'!$F25*(IF(Scenario_Select="Scenario 1",'CBA Inputs'!P$259-'CBA Inputs'!P270,0)+IF(Scenario_Select="Scenario 2",'CBA Inputs'!P$274-'CBA Inputs'!P285,0)+IF(Scenario_Select="Scenario 3",'CBA Inputs'!P$289-'CBA Inputs'!P300,0)+IF(Scenario_Select="Scenario 4",'CBA Inputs'!P$304-'CBA Inputs'!P315,0)),0)*Q$55</f>
        <v>21422927</v>
      </c>
      <c r="R216" s="17">
        <f>IFERROR('Option inputs'!$F25*(IF(Scenario_Select="Scenario 1",'CBA Inputs'!Q$259-'CBA Inputs'!Q270,0)+IF(Scenario_Select="Scenario 2",'CBA Inputs'!Q$274-'CBA Inputs'!Q285,0)+IF(Scenario_Select="Scenario 3",'CBA Inputs'!Q$289-'CBA Inputs'!Q300,0)+IF(Scenario_Select="Scenario 4",'CBA Inputs'!Q$304-'CBA Inputs'!Q315,0)),0)*R$55</f>
        <v>6832427</v>
      </c>
      <c r="S216" s="17">
        <f>IFERROR('Option inputs'!$F25*(IF(Scenario_Select="Scenario 1",'CBA Inputs'!R$259-'CBA Inputs'!R270,0)+IF(Scenario_Select="Scenario 2",'CBA Inputs'!R$274-'CBA Inputs'!R285,0)+IF(Scenario_Select="Scenario 3",'CBA Inputs'!R$289-'CBA Inputs'!R300,0)+IF(Scenario_Select="Scenario 4",'CBA Inputs'!R$304-'CBA Inputs'!R315,0)),0)*S$55</f>
        <v>4965005</v>
      </c>
      <c r="T216" s="17">
        <f>IFERROR('Option inputs'!$F25*(IF(Scenario_Select="Scenario 1",'CBA Inputs'!S$259-'CBA Inputs'!S270,0)+IF(Scenario_Select="Scenario 2",'CBA Inputs'!S$274-'CBA Inputs'!S285,0)+IF(Scenario_Select="Scenario 3",'CBA Inputs'!S$289-'CBA Inputs'!S300,0)+IF(Scenario_Select="Scenario 4",'CBA Inputs'!S$304-'CBA Inputs'!S315,0)),0)*T$55</f>
        <v>10599878</v>
      </c>
      <c r="U216" s="17">
        <f>IFERROR('Option inputs'!$F25*(IF(Scenario_Select="Scenario 1",'CBA Inputs'!T$259-'CBA Inputs'!T270,0)+IF(Scenario_Select="Scenario 2",'CBA Inputs'!T$274-'CBA Inputs'!T285,0)+IF(Scenario_Select="Scenario 3",'CBA Inputs'!T$289-'CBA Inputs'!T300,0)+IF(Scenario_Select="Scenario 4",'CBA Inputs'!T$304-'CBA Inputs'!T315,0)),0)*U$55</f>
        <v>541576</v>
      </c>
      <c r="V216" s="17">
        <f>IFERROR('Option inputs'!$F25*(IF(Scenario_Select="Scenario 1",'CBA Inputs'!U$259-'CBA Inputs'!U270,0)+IF(Scenario_Select="Scenario 2",'CBA Inputs'!U$274-'CBA Inputs'!U285,0)+IF(Scenario_Select="Scenario 3",'CBA Inputs'!U$289-'CBA Inputs'!U300,0)+IF(Scenario_Select="Scenario 4",'CBA Inputs'!U$304-'CBA Inputs'!U315,0)),0)*V$55</f>
        <v>6629272</v>
      </c>
      <c r="W216" s="17">
        <f>IFERROR('Option inputs'!$F25*(IF(Scenario_Select="Scenario 1",'CBA Inputs'!V$259-'CBA Inputs'!V270,0)+IF(Scenario_Select="Scenario 2",'CBA Inputs'!V$274-'CBA Inputs'!V285,0)+IF(Scenario_Select="Scenario 3",'CBA Inputs'!V$289-'CBA Inputs'!V300,0)+IF(Scenario_Select="Scenario 4",'CBA Inputs'!V$304-'CBA Inputs'!V315,0)),0)*W$55</f>
        <v>11931404</v>
      </c>
      <c r="X216" s="17">
        <f>IFERROR('Option inputs'!$F25*(IF(Scenario_Select="Scenario 1",'CBA Inputs'!W$259-'CBA Inputs'!W270,0)+IF(Scenario_Select="Scenario 2",'CBA Inputs'!W$274-'CBA Inputs'!W285,0)+IF(Scenario_Select="Scenario 3",'CBA Inputs'!W$289-'CBA Inputs'!W300,0)+IF(Scenario_Select="Scenario 4",'CBA Inputs'!W$304-'CBA Inputs'!W315,0)),0)*X$55</f>
        <v>11655505</v>
      </c>
      <c r="Y216" s="17">
        <f>IFERROR('Option inputs'!$F25*(IF(Scenario_Select="Scenario 1",'CBA Inputs'!X$259-'CBA Inputs'!X270,0)+IF(Scenario_Select="Scenario 2",'CBA Inputs'!X$274-'CBA Inputs'!X285,0)+IF(Scenario_Select="Scenario 3",'CBA Inputs'!X$289-'CBA Inputs'!X300,0)+IF(Scenario_Select="Scenario 4",'CBA Inputs'!X$304-'CBA Inputs'!X315,0)),0)*Y$55</f>
        <v>48392082</v>
      </c>
      <c r="Z216" s="17">
        <f>IFERROR('Option inputs'!$F25*(IF(Scenario_Select="Scenario 1",'CBA Inputs'!Y$259-'CBA Inputs'!Y270,0)+IF(Scenario_Select="Scenario 2",'CBA Inputs'!Y$274-'CBA Inputs'!Y285,0)+IF(Scenario_Select="Scenario 3",'CBA Inputs'!Y$289-'CBA Inputs'!Y300,0)+IF(Scenario_Select="Scenario 4",'CBA Inputs'!Y$304-'CBA Inputs'!Y315,0)),0)*Z$55</f>
        <v>-209947</v>
      </c>
      <c r="AA216" s="17">
        <f>IFERROR('Option inputs'!$F25*(IF(Scenario_Select="Scenario 1",'CBA Inputs'!Z$259-'CBA Inputs'!Z270,0)+IF(Scenario_Select="Scenario 2",'CBA Inputs'!Z$274-'CBA Inputs'!Z285,0)+IF(Scenario_Select="Scenario 3",'CBA Inputs'!Z$289-'CBA Inputs'!Z300,0)+IF(Scenario_Select="Scenario 4",'CBA Inputs'!Z$304-'CBA Inputs'!Z315,0)),0)*AA$55</f>
        <v>-1468808</v>
      </c>
      <c r="AB216" s="17">
        <f>IFERROR('Option inputs'!$F25*(IF(Scenario_Select="Scenario 1",'CBA Inputs'!AA$259-'CBA Inputs'!AA270,0)+IF(Scenario_Select="Scenario 2",'CBA Inputs'!AA$274-'CBA Inputs'!AA285,0)+IF(Scenario_Select="Scenario 3",'CBA Inputs'!AA$289-'CBA Inputs'!AA300,0)+IF(Scenario_Select="Scenario 4",'CBA Inputs'!AA$304-'CBA Inputs'!AA315,0)),0)*AB$55</f>
        <v>-9825266</v>
      </c>
      <c r="AC216" s="17">
        <f>IFERROR('Option inputs'!$F25*(IF(Scenario_Select="Scenario 1",'CBA Inputs'!AB$259-'CBA Inputs'!AB270,0)+IF(Scenario_Select="Scenario 2",'CBA Inputs'!AB$274-'CBA Inputs'!AB285,0)+IF(Scenario_Select="Scenario 3",'CBA Inputs'!AB$289-'CBA Inputs'!AB300,0)+IF(Scenario_Select="Scenario 4",'CBA Inputs'!AB$304-'CBA Inputs'!AB315,0)),0)*AC$55</f>
        <v>-2441768</v>
      </c>
      <c r="AD216" s="17">
        <f>IFERROR('Option inputs'!$F25*(IF(Scenario_Select="Scenario 1",'CBA Inputs'!AC$259-'CBA Inputs'!AC270,0)+IF(Scenario_Select="Scenario 2",'CBA Inputs'!AC$274-'CBA Inputs'!AC285,0)+IF(Scenario_Select="Scenario 3",'CBA Inputs'!AC$289-'CBA Inputs'!AC300,0)+IF(Scenario_Select="Scenario 4",'CBA Inputs'!AC$304-'CBA Inputs'!AC315,0)),0)*AD$55</f>
        <v>222698</v>
      </c>
      <c r="AE216" s="17">
        <f>IFERROR('Option inputs'!$F25*(IF(Scenario_Select="Scenario 1",'CBA Inputs'!AD$259-'CBA Inputs'!AD270,0)+IF(Scenario_Select="Scenario 2",'CBA Inputs'!AD$274-'CBA Inputs'!AD285,0)+IF(Scenario_Select="Scenario 3",'CBA Inputs'!AD$289-'CBA Inputs'!AD300,0)+IF(Scenario_Select="Scenario 4",'CBA Inputs'!AD$304-'CBA Inputs'!AD315,0)),0)*AE$55</f>
        <v>7427646</v>
      </c>
      <c r="AF216" s="17">
        <f>IFERROR('Option inputs'!$F25*(IF(Scenario_Select="Scenario 1",'CBA Inputs'!AE$259-'CBA Inputs'!AE270,0)+IF(Scenario_Select="Scenario 2",'CBA Inputs'!AE$274-'CBA Inputs'!AE285,0)+IF(Scenario_Select="Scenario 3",'CBA Inputs'!AE$289-'CBA Inputs'!AE300,0)+IF(Scenario_Select="Scenario 4",'CBA Inputs'!AE$304-'CBA Inputs'!AE315,0)),0)*AF$55</f>
        <v>-18957836</v>
      </c>
      <c r="AG216" s="17">
        <f>IFERROR('Option inputs'!$F25*(IF(Scenario_Select="Scenario 1",'CBA Inputs'!AF$259-'CBA Inputs'!AF270,0)+IF(Scenario_Select="Scenario 2",'CBA Inputs'!AF$274-'CBA Inputs'!AF285,0)+IF(Scenario_Select="Scenario 3",'CBA Inputs'!AF$289-'CBA Inputs'!AF300,0)+IF(Scenario_Select="Scenario 4",'CBA Inputs'!AF$304-'CBA Inputs'!AF315,0)),0)*AG$55</f>
        <v>0</v>
      </c>
      <c r="AH216" s="17">
        <f>IFERROR('Option inputs'!$F25*(IF(Scenario_Select="Scenario 1",'CBA Inputs'!AG$259-'CBA Inputs'!AG270,0)+IF(Scenario_Select="Scenario 2",'CBA Inputs'!AG$274-'CBA Inputs'!AG285,0)+IF(Scenario_Select="Scenario 3",'CBA Inputs'!AG$289-'CBA Inputs'!AG300,0)+IF(Scenario_Select="Scenario 4",'CBA Inputs'!AG$304-'CBA Inputs'!AG315,0)),0)*AH$55</f>
        <v>0</v>
      </c>
      <c r="AI216" s="17">
        <f>IFERROR('Option inputs'!$F25*(IF(Scenario_Select="Scenario 1",'CBA Inputs'!AH$259-'CBA Inputs'!AH270,0)+IF(Scenario_Select="Scenario 2",'CBA Inputs'!AH$274-'CBA Inputs'!AH285,0)+IF(Scenario_Select="Scenario 3",'CBA Inputs'!AH$289-'CBA Inputs'!AH300,0)+IF(Scenario_Select="Scenario 4",'CBA Inputs'!AH$304-'CBA Inputs'!AH315,0)),0)*AI$55</f>
        <v>0</v>
      </c>
      <c r="AJ216" s="17">
        <f>IFERROR('Option inputs'!$F25*(IF(Scenario_Select="Scenario 1",'CBA Inputs'!AI$259-'CBA Inputs'!AI270,0)+IF(Scenario_Select="Scenario 2",'CBA Inputs'!AI$274-'CBA Inputs'!AI285,0)+IF(Scenario_Select="Scenario 3",'CBA Inputs'!AI$289-'CBA Inputs'!AI300,0)+IF(Scenario_Select="Scenario 4",'CBA Inputs'!AI$304-'CBA Inputs'!AI315,0)),0)*AJ$55</f>
        <v>0</v>
      </c>
    </row>
    <row r="217" spans="2:36" x14ac:dyDescent="0.35">
      <c r="B217" s="9">
        <f>'Option inputs'!B26</f>
        <v>12</v>
      </c>
      <c r="C217" s="14" t="str">
        <f>+'Option inputs'!C26</f>
        <v>Option 4C</v>
      </c>
      <c r="D217" s="26"/>
      <c r="E217" s="12" t="s">
        <v>35</v>
      </c>
      <c r="F217" s="18">
        <f t="shared" si="49"/>
        <v>65912586.326170459</v>
      </c>
      <c r="G217" s="17">
        <f>IFERROR('Option inputs'!$F26*(IF(Scenario_Select="Scenario 1",'CBA Inputs'!F$259-'CBA Inputs'!F271,0)+IF(Scenario_Select="Scenario 2",'CBA Inputs'!F$274-'CBA Inputs'!F286,0)+IF(Scenario_Select="Scenario 3",'CBA Inputs'!F$289-'CBA Inputs'!F301,0)+IF(Scenario_Select="Scenario 4",'CBA Inputs'!F$304-'CBA Inputs'!F316,0)),0)*G$55</f>
        <v>0</v>
      </c>
      <c r="H217" s="17">
        <f>IFERROR('Option inputs'!$F26*(IF(Scenario_Select="Scenario 1",'CBA Inputs'!G$259-'CBA Inputs'!G271,0)+IF(Scenario_Select="Scenario 2",'CBA Inputs'!G$274-'CBA Inputs'!G286,0)+IF(Scenario_Select="Scenario 3",'CBA Inputs'!G$289-'CBA Inputs'!G301,0)+IF(Scenario_Select="Scenario 4",'CBA Inputs'!G$304-'CBA Inputs'!G316,0)),0)*H$55</f>
        <v>2727</v>
      </c>
      <c r="I217" s="17">
        <f>IFERROR('Option inputs'!$F26*(IF(Scenario_Select="Scenario 1",'CBA Inputs'!H$259-'CBA Inputs'!H271,0)+IF(Scenario_Select="Scenario 2",'CBA Inputs'!H$274-'CBA Inputs'!H286,0)+IF(Scenario_Select="Scenario 3",'CBA Inputs'!H$289-'CBA Inputs'!H301,0)+IF(Scenario_Select="Scenario 4",'CBA Inputs'!H$304-'CBA Inputs'!H316,0)),0)*I$55</f>
        <v>2906</v>
      </c>
      <c r="J217" s="17">
        <f>IFERROR('Option inputs'!$F26*(IF(Scenario_Select="Scenario 1",'CBA Inputs'!I$259-'CBA Inputs'!I271,0)+IF(Scenario_Select="Scenario 2",'CBA Inputs'!I$274-'CBA Inputs'!I286,0)+IF(Scenario_Select="Scenario 3",'CBA Inputs'!I$289-'CBA Inputs'!I301,0)+IF(Scenario_Select="Scenario 4",'CBA Inputs'!I$304-'CBA Inputs'!I316,0)),0)*J$55</f>
        <v>2857</v>
      </c>
      <c r="K217" s="17">
        <f>IFERROR('Option inputs'!$F26*(IF(Scenario_Select="Scenario 1",'CBA Inputs'!J$259-'CBA Inputs'!J271,0)+IF(Scenario_Select="Scenario 2",'CBA Inputs'!J$274-'CBA Inputs'!J286,0)+IF(Scenario_Select="Scenario 3",'CBA Inputs'!J$289-'CBA Inputs'!J301,0)+IF(Scenario_Select="Scenario 4",'CBA Inputs'!J$304-'CBA Inputs'!J316,0)),0)*K$55</f>
        <v>-7829420</v>
      </c>
      <c r="L217" s="17">
        <f>IFERROR('Option inputs'!$F26*(IF(Scenario_Select="Scenario 1",'CBA Inputs'!K$259-'CBA Inputs'!K271,0)+IF(Scenario_Select="Scenario 2",'CBA Inputs'!K$274-'CBA Inputs'!K286,0)+IF(Scenario_Select="Scenario 3",'CBA Inputs'!K$289-'CBA Inputs'!K301,0)+IF(Scenario_Select="Scenario 4",'CBA Inputs'!K$304-'CBA Inputs'!K316,0)),0)*L$55</f>
        <v>5099141</v>
      </c>
      <c r="M217" s="17">
        <f>IFERROR('Option inputs'!$F26*(IF(Scenario_Select="Scenario 1",'CBA Inputs'!L$259-'CBA Inputs'!L271,0)+IF(Scenario_Select="Scenario 2",'CBA Inputs'!L$274-'CBA Inputs'!L286,0)+IF(Scenario_Select="Scenario 3",'CBA Inputs'!L$289-'CBA Inputs'!L301,0)+IF(Scenario_Select="Scenario 4",'CBA Inputs'!L$304-'CBA Inputs'!L316,0)),0)*M$55</f>
        <v>123290</v>
      </c>
      <c r="N217" s="17">
        <f>IFERROR('Option inputs'!$F26*(IF(Scenario_Select="Scenario 1",'CBA Inputs'!M$259-'CBA Inputs'!M271,0)+IF(Scenario_Select="Scenario 2",'CBA Inputs'!M$274-'CBA Inputs'!M286,0)+IF(Scenario_Select="Scenario 3",'CBA Inputs'!M$289-'CBA Inputs'!M301,0)+IF(Scenario_Select="Scenario 4",'CBA Inputs'!M$304-'CBA Inputs'!M316,0)),0)*N$55</f>
        <v>15286598</v>
      </c>
      <c r="O217" s="17">
        <f>IFERROR('Option inputs'!$F26*(IF(Scenario_Select="Scenario 1",'CBA Inputs'!N$259-'CBA Inputs'!N271,0)+IF(Scenario_Select="Scenario 2",'CBA Inputs'!N$274-'CBA Inputs'!N286,0)+IF(Scenario_Select="Scenario 3",'CBA Inputs'!N$289-'CBA Inputs'!N301,0)+IF(Scenario_Select="Scenario 4",'CBA Inputs'!N$304-'CBA Inputs'!N316,0)),0)*O$55</f>
        <v>224646</v>
      </c>
      <c r="P217" s="17">
        <f>IFERROR('Option inputs'!$F26*(IF(Scenario_Select="Scenario 1",'CBA Inputs'!O$259-'CBA Inputs'!O271,0)+IF(Scenario_Select="Scenario 2",'CBA Inputs'!O$274-'CBA Inputs'!O286,0)+IF(Scenario_Select="Scenario 3",'CBA Inputs'!O$289-'CBA Inputs'!O301,0)+IF(Scenario_Select="Scenario 4",'CBA Inputs'!O$304-'CBA Inputs'!O316,0)),0)*P$55</f>
        <v>20074706</v>
      </c>
      <c r="Q217" s="17">
        <f>IFERROR('Option inputs'!$F26*(IF(Scenario_Select="Scenario 1",'CBA Inputs'!P$259-'CBA Inputs'!P271,0)+IF(Scenario_Select="Scenario 2",'CBA Inputs'!P$274-'CBA Inputs'!P286,0)+IF(Scenario_Select="Scenario 3",'CBA Inputs'!P$289-'CBA Inputs'!P301,0)+IF(Scenario_Select="Scenario 4",'CBA Inputs'!P$304-'CBA Inputs'!P316,0)),0)*Q$55</f>
        <v>21278607</v>
      </c>
      <c r="R217" s="17">
        <f>IFERROR('Option inputs'!$F26*(IF(Scenario_Select="Scenario 1",'CBA Inputs'!Q$259-'CBA Inputs'!Q271,0)+IF(Scenario_Select="Scenario 2",'CBA Inputs'!Q$274-'CBA Inputs'!Q286,0)+IF(Scenario_Select="Scenario 3",'CBA Inputs'!Q$289-'CBA Inputs'!Q301,0)+IF(Scenario_Select="Scenario 4",'CBA Inputs'!Q$304-'CBA Inputs'!Q316,0)),0)*R$55</f>
        <v>6836795</v>
      </c>
      <c r="S217" s="17">
        <f>IFERROR('Option inputs'!$F26*(IF(Scenario_Select="Scenario 1",'CBA Inputs'!R$259-'CBA Inputs'!R271,0)+IF(Scenario_Select="Scenario 2",'CBA Inputs'!R$274-'CBA Inputs'!R286,0)+IF(Scenario_Select="Scenario 3",'CBA Inputs'!R$289-'CBA Inputs'!R301,0)+IF(Scenario_Select="Scenario 4",'CBA Inputs'!R$304-'CBA Inputs'!R316,0)),0)*S$55</f>
        <v>4969752</v>
      </c>
      <c r="T217" s="17">
        <f>IFERROR('Option inputs'!$F26*(IF(Scenario_Select="Scenario 1",'CBA Inputs'!S$259-'CBA Inputs'!S271,0)+IF(Scenario_Select="Scenario 2",'CBA Inputs'!S$274-'CBA Inputs'!S286,0)+IF(Scenario_Select="Scenario 3",'CBA Inputs'!S$289-'CBA Inputs'!S301,0)+IF(Scenario_Select="Scenario 4",'CBA Inputs'!S$304-'CBA Inputs'!S316,0)),0)*T$55</f>
        <v>10605025</v>
      </c>
      <c r="U217" s="17">
        <f>IFERROR('Option inputs'!$F26*(IF(Scenario_Select="Scenario 1",'CBA Inputs'!T$259-'CBA Inputs'!T271,0)+IF(Scenario_Select="Scenario 2",'CBA Inputs'!T$274-'CBA Inputs'!T286,0)+IF(Scenario_Select="Scenario 3",'CBA Inputs'!T$289-'CBA Inputs'!T301,0)+IF(Scenario_Select="Scenario 4",'CBA Inputs'!T$304-'CBA Inputs'!T316,0)),0)*U$55</f>
        <v>549466</v>
      </c>
      <c r="V217" s="17">
        <f>IFERROR('Option inputs'!$F26*(IF(Scenario_Select="Scenario 1",'CBA Inputs'!U$259-'CBA Inputs'!U271,0)+IF(Scenario_Select="Scenario 2",'CBA Inputs'!U$274-'CBA Inputs'!U286,0)+IF(Scenario_Select="Scenario 3",'CBA Inputs'!U$289-'CBA Inputs'!U301,0)+IF(Scenario_Select="Scenario 4",'CBA Inputs'!U$304-'CBA Inputs'!U316,0)),0)*V$55</f>
        <v>6638000</v>
      </c>
      <c r="W217" s="17">
        <f>IFERROR('Option inputs'!$F26*(IF(Scenario_Select="Scenario 1",'CBA Inputs'!V$259-'CBA Inputs'!V271,0)+IF(Scenario_Select="Scenario 2",'CBA Inputs'!V$274-'CBA Inputs'!V286,0)+IF(Scenario_Select="Scenario 3",'CBA Inputs'!V$289-'CBA Inputs'!V301,0)+IF(Scenario_Select="Scenario 4",'CBA Inputs'!V$304-'CBA Inputs'!V316,0)),0)*W$55</f>
        <v>11864633</v>
      </c>
      <c r="X217" s="17">
        <f>IFERROR('Option inputs'!$F26*(IF(Scenario_Select="Scenario 1",'CBA Inputs'!W$259-'CBA Inputs'!W271,0)+IF(Scenario_Select="Scenario 2",'CBA Inputs'!W$274-'CBA Inputs'!W286,0)+IF(Scenario_Select="Scenario 3",'CBA Inputs'!W$289-'CBA Inputs'!W301,0)+IF(Scenario_Select="Scenario 4",'CBA Inputs'!W$304-'CBA Inputs'!W316,0)),0)*X$55</f>
        <v>11638291</v>
      </c>
      <c r="Y217" s="17">
        <f>IFERROR('Option inputs'!$F26*(IF(Scenario_Select="Scenario 1",'CBA Inputs'!X$259-'CBA Inputs'!X271,0)+IF(Scenario_Select="Scenario 2",'CBA Inputs'!X$274-'CBA Inputs'!X286,0)+IF(Scenario_Select="Scenario 3",'CBA Inputs'!X$289-'CBA Inputs'!X301,0)+IF(Scenario_Select="Scenario 4",'CBA Inputs'!X$304-'CBA Inputs'!X316,0)),0)*Y$55</f>
        <v>48399514</v>
      </c>
      <c r="Z217" s="17">
        <f>IFERROR('Option inputs'!$F26*(IF(Scenario_Select="Scenario 1",'CBA Inputs'!Y$259-'CBA Inputs'!Y271,0)+IF(Scenario_Select="Scenario 2",'CBA Inputs'!Y$274-'CBA Inputs'!Y286,0)+IF(Scenario_Select="Scenario 3",'CBA Inputs'!Y$289-'CBA Inputs'!Y301,0)+IF(Scenario_Select="Scenario 4",'CBA Inputs'!Y$304-'CBA Inputs'!Y316,0)),0)*Z$55</f>
        <v>-202653</v>
      </c>
      <c r="AA217" s="17">
        <f>IFERROR('Option inputs'!$F26*(IF(Scenario_Select="Scenario 1",'CBA Inputs'!Z$259-'CBA Inputs'!Z271,0)+IF(Scenario_Select="Scenario 2",'CBA Inputs'!Z$274-'CBA Inputs'!Z286,0)+IF(Scenario_Select="Scenario 3",'CBA Inputs'!Z$289-'CBA Inputs'!Z301,0)+IF(Scenario_Select="Scenario 4",'CBA Inputs'!Z$304-'CBA Inputs'!Z316,0)),0)*AA$55</f>
        <v>-1455311</v>
      </c>
      <c r="AB217" s="17">
        <f>IFERROR('Option inputs'!$F26*(IF(Scenario_Select="Scenario 1",'CBA Inputs'!AA$259-'CBA Inputs'!AA271,0)+IF(Scenario_Select="Scenario 2",'CBA Inputs'!AA$274-'CBA Inputs'!AA286,0)+IF(Scenario_Select="Scenario 3",'CBA Inputs'!AA$289-'CBA Inputs'!AA301,0)+IF(Scenario_Select="Scenario 4",'CBA Inputs'!AA$304-'CBA Inputs'!AA316,0)),0)*AB$55</f>
        <v>-9804336</v>
      </c>
      <c r="AC217" s="17">
        <f>IFERROR('Option inputs'!$F26*(IF(Scenario_Select="Scenario 1",'CBA Inputs'!AB$259-'CBA Inputs'!AB271,0)+IF(Scenario_Select="Scenario 2",'CBA Inputs'!AB$274-'CBA Inputs'!AB286,0)+IF(Scenario_Select="Scenario 3",'CBA Inputs'!AB$289-'CBA Inputs'!AB301,0)+IF(Scenario_Select="Scenario 4",'CBA Inputs'!AB$304-'CBA Inputs'!AB316,0)),0)*AC$55</f>
        <v>-2446066</v>
      </c>
      <c r="AD217" s="17">
        <f>IFERROR('Option inputs'!$F26*(IF(Scenario_Select="Scenario 1",'CBA Inputs'!AC$259-'CBA Inputs'!AC271,0)+IF(Scenario_Select="Scenario 2",'CBA Inputs'!AC$274-'CBA Inputs'!AC286,0)+IF(Scenario_Select="Scenario 3",'CBA Inputs'!AC$289-'CBA Inputs'!AC301,0)+IF(Scenario_Select="Scenario 4",'CBA Inputs'!AC$304-'CBA Inputs'!AC316,0)),0)*AD$55</f>
        <v>231860</v>
      </c>
      <c r="AE217" s="17">
        <f>IFERROR('Option inputs'!$F26*(IF(Scenario_Select="Scenario 1",'CBA Inputs'!AD$259-'CBA Inputs'!AD271,0)+IF(Scenario_Select="Scenario 2",'CBA Inputs'!AD$274-'CBA Inputs'!AD286,0)+IF(Scenario_Select="Scenario 3",'CBA Inputs'!AD$289-'CBA Inputs'!AD301,0)+IF(Scenario_Select="Scenario 4",'CBA Inputs'!AD$304-'CBA Inputs'!AD316,0)),0)*AE$55</f>
        <v>7436175</v>
      </c>
      <c r="AF217" s="17">
        <f>IFERROR('Option inputs'!$F26*(IF(Scenario_Select="Scenario 1",'CBA Inputs'!AE$259-'CBA Inputs'!AE271,0)+IF(Scenario_Select="Scenario 2",'CBA Inputs'!AE$274-'CBA Inputs'!AE286,0)+IF(Scenario_Select="Scenario 3",'CBA Inputs'!AE$289-'CBA Inputs'!AE301,0)+IF(Scenario_Select="Scenario 4",'CBA Inputs'!AE$304-'CBA Inputs'!AE316,0)),0)*AF$55</f>
        <v>-18953255</v>
      </c>
      <c r="AG217" s="17">
        <f>IFERROR('Option inputs'!$F26*(IF(Scenario_Select="Scenario 1",'CBA Inputs'!AF$259-'CBA Inputs'!AF271,0)+IF(Scenario_Select="Scenario 2",'CBA Inputs'!AF$274-'CBA Inputs'!AF286,0)+IF(Scenario_Select="Scenario 3",'CBA Inputs'!AF$289-'CBA Inputs'!AF301,0)+IF(Scenario_Select="Scenario 4",'CBA Inputs'!AF$304-'CBA Inputs'!AF316,0)),0)*AG$55</f>
        <v>0</v>
      </c>
      <c r="AH217" s="17">
        <f>IFERROR('Option inputs'!$F26*(IF(Scenario_Select="Scenario 1",'CBA Inputs'!AG$259-'CBA Inputs'!AG271,0)+IF(Scenario_Select="Scenario 2",'CBA Inputs'!AG$274-'CBA Inputs'!AG286,0)+IF(Scenario_Select="Scenario 3",'CBA Inputs'!AG$289-'CBA Inputs'!AG301,0)+IF(Scenario_Select="Scenario 4",'CBA Inputs'!AG$304-'CBA Inputs'!AG316,0)),0)*AH$55</f>
        <v>0</v>
      </c>
      <c r="AI217" s="17">
        <f>IFERROR('Option inputs'!$F26*(IF(Scenario_Select="Scenario 1",'CBA Inputs'!AH$259-'CBA Inputs'!AH271,0)+IF(Scenario_Select="Scenario 2",'CBA Inputs'!AH$274-'CBA Inputs'!AH286,0)+IF(Scenario_Select="Scenario 3",'CBA Inputs'!AH$289-'CBA Inputs'!AH301,0)+IF(Scenario_Select="Scenario 4",'CBA Inputs'!AH$304-'CBA Inputs'!AH316,0)),0)*AI$55</f>
        <v>0</v>
      </c>
      <c r="AJ217" s="17">
        <f>IFERROR('Option inputs'!$F26*(IF(Scenario_Select="Scenario 1",'CBA Inputs'!AI$259-'CBA Inputs'!AI271,0)+IF(Scenario_Select="Scenario 2",'CBA Inputs'!AI$274-'CBA Inputs'!AI286,0)+IF(Scenario_Select="Scenario 3",'CBA Inputs'!AI$289-'CBA Inputs'!AI301,0)+IF(Scenario_Select="Scenario 4",'CBA Inputs'!AI$304-'CBA Inputs'!AI316,0)),0)*AJ$55</f>
        <v>0</v>
      </c>
    </row>
    <row r="218" spans="2:36" x14ac:dyDescent="0.35">
      <c r="F218" s="134"/>
    </row>
    <row r="219" spans="2:36" x14ac:dyDescent="0.35">
      <c r="B219" s="5" t="str">
        <f>+'CBA Inputs'!B318</f>
        <v>Costs for non RIT-T proponent parties</v>
      </c>
      <c r="C219" s="28"/>
      <c r="D219" s="28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:36" x14ac:dyDescent="0.35">
      <c r="B220" s="7" t="s">
        <v>14</v>
      </c>
      <c r="C220" s="10" t="s">
        <v>13</v>
      </c>
      <c r="D220" s="10"/>
      <c r="E220" s="8" t="s">
        <v>22</v>
      </c>
      <c r="F220" s="8" t="s">
        <v>37</v>
      </c>
      <c r="G220" s="13" t="str">
        <f>G$56</f>
        <v>FY 2019-20</v>
      </c>
      <c r="H220" s="13" t="str">
        <f t="shared" ref="H220:AJ220" si="50">H$56</f>
        <v>FY 2020-21</v>
      </c>
      <c r="I220" s="13" t="str">
        <f t="shared" si="50"/>
        <v>FY 2021-22</v>
      </c>
      <c r="J220" s="13" t="str">
        <f t="shared" si="50"/>
        <v>FY 2022-23</v>
      </c>
      <c r="K220" s="13" t="str">
        <f t="shared" si="50"/>
        <v>FY 2023-24</v>
      </c>
      <c r="L220" s="13" t="str">
        <f t="shared" si="50"/>
        <v>FY 2024-25</v>
      </c>
      <c r="M220" s="13" t="str">
        <f t="shared" si="50"/>
        <v>FY 2025-26</v>
      </c>
      <c r="N220" s="13" t="str">
        <f t="shared" si="50"/>
        <v>FY 2026-27</v>
      </c>
      <c r="O220" s="13" t="str">
        <f t="shared" si="50"/>
        <v>FY 2027-28</v>
      </c>
      <c r="P220" s="13" t="str">
        <f t="shared" si="50"/>
        <v>FY 2028-29</v>
      </c>
      <c r="Q220" s="13" t="str">
        <f t="shared" si="50"/>
        <v>FY 2029-30</v>
      </c>
      <c r="R220" s="13" t="str">
        <f t="shared" si="50"/>
        <v>FY 2030-31</v>
      </c>
      <c r="S220" s="13" t="str">
        <f t="shared" si="50"/>
        <v>FY 2031-32</v>
      </c>
      <c r="T220" s="13" t="str">
        <f t="shared" si="50"/>
        <v>FY 2032-33</v>
      </c>
      <c r="U220" s="13" t="str">
        <f t="shared" si="50"/>
        <v>FY 2033-34</v>
      </c>
      <c r="V220" s="13" t="str">
        <f t="shared" si="50"/>
        <v>FY 2034-35</v>
      </c>
      <c r="W220" s="13" t="str">
        <f t="shared" si="50"/>
        <v>FY 2035-36</v>
      </c>
      <c r="X220" s="13" t="str">
        <f t="shared" si="50"/>
        <v>FY 2036-37</v>
      </c>
      <c r="Y220" s="13" t="str">
        <f t="shared" si="50"/>
        <v>FY 2037-38</v>
      </c>
      <c r="Z220" s="13" t="str">
        <f t="shared" si="50"/>
        <v>FY 2038-39</v>
      </c>
      <c r="AA220" s="13" t="str">
        <f t="shared" si="50"/>
        <v>FY 2039-40</v>
      </c>
      <c r="AB220" s="13" t="str">
        <f t="shared" si="50"/>
        <v>FY 2040-41</v>
      </c>
      <c r="AC220" s="13" t="str">
        <f t="shared" si="50"/>
        <v>FY 2041-42</v>
      </c>
      <c r="AD220" s="13" t="str">
        <f t="shared" si="50"/>
        <v>FY 2042-43</v>
      </c>
      <c r="AE220" s="13" t="str">
        <f t="shared" si="50"/>
        <v>FY 2043-44</v>
      </c>
      <c r="AF220" s="13" t="str">
        <f t="shared" si="50"/>
        <v>FY 2044-45</v>
      </c>
      <c r="AG220" s="13" t="str">
        <f t="shared" si="50"/>
        <v>FY 2045-46</v>
      </c>
      <c r="AH220" s="13" t="str">
        <f t="shared" si="50"/>
        <v>FY 2046-47</v>
      </c>
      <c r="AI220" s="13" t="str">
        <f t="shared" si="50"/>
        <v>FY 2047-48</v>
      </c>
      <c r="AJ220" s="13" t="str">
        <f t="shared" si="50"/>
        <v>FY 2048-49</v>
      </c>
    </row>
    <row r="221" spans="2:36" x14ac:dyDescent="0.35">
      <c r="B221" s="9">
        <f>'Option inputs'!B15</f>
        <v>1</v>
      </c>
      <c r="C221" s="14" t="str">
        <f>+'Option inputs'!C15</f>
        <v>Option 1A</v>
      </c>
      <c r="D221" s="26"/>
      <c r="E221" s="12" t="s">
        <v>35</v>
      </c>
      <c r="F221" s="18">
        <f t="shared" ref="F221:F232" si="51">NPV(DiscountRate_ACTIVE,G221:AJ221)/(1+DiscountRate_ACTIVE)^(FirstYear-BaseYear-1)</f>
        <v>911008317.59527481</v>
      </c>
      <c r="G221" s="17">
        <f>IFERROR('Option inputs'!$F15*(IF(Scenario_Select="Scenario 1",'CBA Inputs'!F$321-'CBA Inputs'!F322,0)+IF(Scenario_Select="Scenario 2",'CBA Inputs'!F$336-'CBA Inputs'!F337,0)+IF(Scenario_Select="Scenario 3",'CBA Inputs'!F$351-'CBA Inputs'!F352,0)+IF(Scenario_Select="Scenario 4",'CBA Inputs'!F$366-'CBA Inputs'!F367,0)),0)*G$55</f>
        <v>0</v>
      </c>
      <c r="H221" s="17">
        <f>IFERROR('Option inputs'!$F15*(IF(Scenario_Select="Scenario 1",'CBA Inputs'!G$321-'CBA Inputs'!G322,0)+IF(Scenario_Select="Scenario 2",'CBA Inputs'!G$336-'CBA Inputs'!G337,0)+IF(Scenario_Select="Scenario 3",'CBA Inputs'!G$351-'CBA Inputs'!G352,0)+IF(Scenario_Select="Scenario 4",'CBA Inputs'!G$366-'CBA Inputs'!G367,0)),0)*H$55</f>
        <v>2057</v>
      </c>
      <c r="I221" s="17">
        <f>IFERROR('Option inputs'!$F15*(IF(Scenario_Select="Scenario 1",'CBA Inputs'!H$321-'CBA Inputs'!H322,0)+IF(Scenario_Select="Scenario 2",'CBA Inputs'!H$336-'CBA Inputs'!H337,0)+IF(Scenario_Select="Scenario 3",'CBA Inputs'!H$351-'CBA Inputs'!H352,0)+IF(Scenario_Select="Scenario 4",'CBA Inputs'!H$366-'CBA Inputs'!H367,0)),0)*I$55</f>
        <v>5514</v>
      </c>
      <c r="J221" s="17">
        <f>IFERROR('Option inputs'!$F15*(IF(Scenario_Select="Scenario 1",'CBA Inputs'!I$321-'CBA Inputs'!I322,0)+IF(Scenario_Select="Scenario 2",'CBA Inputs'!I$336-'CBA Inputs'!I337,0)+IF(Scenario_Select="Scenario 3",'CBA Inputs'!I$351-'CBA Inputs'!I352,0)+IF(Scenario_Select="Scenario 4",'CBA Inputs'!I$366-'CBA Inputs'!I367,0)),0)*J$55</f>
        <v>-16639</v>
      </c>
      <c r="K221" s="17">
        <f>IFERROR('Option inputs'!$F15*(IF(Scenario_Select="Scenario 1",'CBA Inputs'!J$321-'CBA Inputs'!J322,0)+IF(Scenario_Select="Scenario 2",'CBA Inputs'!J$336-'CBA Inputs'!J337,0)+IF(Scenario_Select="Scenario 3",'CBA Inputs'!J$351-'CBA Inputs'!J352,0)+IF(Scenario_Select="Scenario 4",'CBA Inputs'!J$366-'CBA Inputs'!J367,0)),0)*K$55</f>
        <v>326265875</v>
      </c>
      <c r="L221" s="17">
        <f>IFERROR('Option inputs'!$F15*(IF(Scenario_Select="Scenario 1",'CBA Inputs'!K$321-'CBA Inputs'!K322,0)+IF(Scenario_Select="Scenario 2",'CBA Inputs'!K$336-'CBA Inputs'!K337,0)+IF(Scenario_Select="Scenario 3",'CBA Inputs'!K$351-'CBA Inputs'!K352,0)+IF(Scenario_Select="Scenario 4",'CBA Inputs'!K$366-'CBA Inputs'!K367,0)),0)*L$55</f>
        <v>537727021</v>
      </c>
      <c r="M221" s="17">
        <f>IFERROR('Option inputs'!$F15*(IF(Scenario_Select="Scenario 1",'CBA Inputs'!L$321-'CBA Inputs'!L322,0)+IF(Scenario_Select="Scenario 2",'CBA Inputs'!L$336-'CBA Inputs'!L337,0)+IF(Scenario_Select="Scenario 3",'CBA Inputs'!L$351-'CBA Inputs'!L352,0)+IF(Scenario_Select="Scenario 4",'CBA Inputs'!L$366-'CBA Inputs'!L367,0)),0)*M$55</f>
        <v>30624531</v>
      </c>
      <c r="N221" s="17">
        <f>IFERROR('Option inputs'!$F15*(IF(Scenario_Select="Scenario 1",'CBA Inputs'!M$321-'CBA Inputs'!M322,0)+IF(Scenario_Select="Scenario 2",'CBA Inputs'!M$336-'CBA Inputs'!M337,0)+IF(Scenario_Select="Scenario 3",'CBA Inputs'!M$351-'CBA Inputs'!M352,0)+IF(Scenario_Select="Scenario 4",'CBA Inputs'!M$366-'CBA Inputs'!M367,0)),0)*N$55</f>
        <v>31414603</v>
      </c>
      <c r="O221" s="17">
        <f>IFERROR('Option inputs'!$F15*(IF(Scenario_Select="Scenario 1",'CBA Inputs'!N$321-'CBA Inputs'!N322,0)+IF(Scenario_Select="Scenario 2",'CBA Inputs'!N$336-'CBA Inputs'!N337,0)+IF(Scenario_Select="Scenario 3",'CBA Inputs'!N$351-'CBA Inputs'!N352,0)+IF(Scenario_Select="Scenario 4",'CBA Inputs'!N$366-'CBA Inputs'!N367,0)),0)*O$55</f>
        <v>-44248488</v>
      </c>
      <c r="P221" s="17">
        <f>IFERROR('Option inputs'!$F15*(IF(Scenario_Select="Scenario 1",'CBA Inputs'!O$321-'CBA Inputs'!O322,0)+IF(Scenario_Select="Scenario 2",'CBA Inputs'!O$336-'CBA Inputs'!O337,0)+IF(Scenario_Select="Scenario 3",'CBA Inputs'!O$351-'CBA Inputs'!O352,0)+IF(Scenario_Select="Scenario 4",'CBA Inputs'!O$366-'CBA Inputs'!O367,0)),0)*P$55</f>
        <v>307275867</v>
      </c>
      <c r="Q221" s="17">
        <f>IFERROR('Option inputs'!$F15*(IF(Scenario_Select="Scenario 1",'CBA Inputs'!P$321-'CBA Inputs'!P322,0)+IF(Scenario_Select="Scenario 2",'CBA Inputs'!P$336-'CBA Inputs'!P337,0)+IF(Scenario_Select="Scenario 3",'CBA Inputs'!P$351-'CBA Inputs'!P352,0)+IF(Scenario_Select="Scenario 4",'CBA Inputs'!P$366-'CBA Inputs'!P367,0)),0)*Q$55</f>
        <v>454051923</v>
      </c>
      <c r="R221" s="17">
        <f>IFERROR('Option inputs'!$F15*(IF(Scenario_Select="Scenario 1",'CBA Inputs'!Q$321-'CBA Inputs'!Q322,0)+IF(Scenario_Select="Scenario 2",'CBA Inputs'!Q$336-'CBA Inputs'!Q337,0)+IF(Scenario_Select="Scenario 3",'CBA Inputs'!Q$351-'CBA Inputs'!Q352,0)+IF(Scenario_Select="Scenario 4",'CBA Inputs'!Q$366-'CBA Inputs'!Q367,0)),0)*R$55</f>
        <v>-10370351</v>
      </c>
      <c r="S221" s="17">
        <f>IFERROR('Option inputs'!$F15*(IF(Scenario_Select="Scenario 1",'CBA Inputs'!R$321-'CBA Inputs'!R322,0)+IF(Scenario_Select="Scenario 2",'CBA Inputs'!R$336-'CBA Inputs'!R337,0)+IF(Scenario_Select="Scenario 3",'CBA Inputs'!R$351-'CBA Inputs'!R352,0)+IF(Scenario_Select="Scenario 4",'CBA Inputs'!R$366-'CBA Inputs'!R367,0)),0)*S$55</f>
        <v>-178454691</v>
      </c>
      <c r="T221" s="17">
        <f>IFERROR('Option inputs'!$F15*(IF(Scenario_Select="Scenario 1",'CBA Inputs'!S$321-'CBA Inputs'!S322,0)+IF(Scenario_Select="Scenario 2",'CBA Inputs'!S$336-'CBA Inputs'!S337,0)+IF(Scenario_Select="Scenario 3",'CBA Inputs'!S$351-'CBA Inputs'!S352,0)+IF(Scenario_Select="Scenario 4",'CBA Inputs'!S$366-'CBA Inputs'!S367,0)),0)*T$55</f>
        <v>-68404018</v>
      </c>
      <c r="U221" s="17">
        <f>IFERROR('Option inputs'!$F15*(IF(Scenario_Select="Scenario 1",'CBA Inputs'!T$321-'CBA Inputs'!T322,0)+IF(Scenario_Select="Scenario 2",'CBA Inputs'!T$336-'CBA Inputs'!T337,0)+IF(Scenario_Select="Scenario 3",'CBA Inputs'!T$351-'CBA Inputs'!T352,0)+IF(Scenario_Select="Scenario 4",'CBA Inputs'!T$366-'CBA Inputs'!T367,0)),0)*U$55</f>
        <v>13587356</v>
      </c>
      <c r="V221" s="17">
        <f>IFERROR('Option inputs'!$F15*(IF(Scenario_Select="Scenario 1",'CBA Inputs'!U$321-'CBA Inputs'!U322,0)+IF(Scenario_Select="Scenario 2",'CBA Inputs'!U$336-'CBA Inputs'!U337,0)+IF(Scenario_Select="Scenario 3",'CBA Inputs'!U$351-'CBA Inputs'!U352,0)+IF(Scenario_Select="Scenario 4",'CBA Inputs'!U$366-'CBA Inputs'!U367,0)),0)*V$55</f>
        <v>12883849</v>
      </c>
      <c r="W221" s="17">
        <f>IFERROR('Option inputs'!$F15*(IF(Scenario_Select="Scenario 1",'CBA Inputs'!V$321-'CBA Inputs'!V322,0)+IF(Scenario_Select="Scenario 2",'CBA Inputs'!V$336-'CBA Inputs'!V337,0)+IF(Scenario_Select="Scenario 3",'CBA Inputs'!V$351-'CBA Inputs'!V352,0)+IF(Scenario_Select="Scenario 4",'CBA Inputs'!V$366-'CBA Inputs'!V367,0)),0)*W$55</f>
        <v>-244309731</v>
      </c>
      <c r="X221" s="17">
        <f>IFERROR('Option inputs'!$F15*(IF(Scenario_Select="Scenario 1",'CBA Inputs'!W$321-'CBA Inputs'!W322,0)+IF(Scenario_Select="Scenario 2",'CBA Inputs'!W$336-'CBA Inputs'!W337,0)+IF(Scenario_Select="Scenario 3",'CBA Inputs'!W$351-'CBA Inputs'!W352,0)+IF(Scenario_Select="Scenario 4",'CBA Inputs'!W$366-'CBA Inputs'!W367,0)),0)*X$55</f>
        <v>129247776</v>
      </c>
      <c r="Y221" s="17">
        <f>IFERROR('Option inputs'!$F15*(IF(Scenario_Select="Scenario 1",'CBA Inputs'!X$321-'CBA Inputs'!X322,0)+IF(Scenario_Select="Scenario 2",'CBA Inputs'!X$336-'CBA Inputs'!X337,0)+IF(Scenario_Select="Scenario 3",'CBA Inputs'!X$351-'CBA Inputs'!X352,0)+IF(Scenario_Select="Scenario 4",'CBA Inputs'!X$366-'CBA Inputs'!X367,0)),0)*Y$55</f>
        <v>-92009497</v>
      </c>
      <c r="Z221" s="17">
        <f>IFERROR('Option inputs'!$F15*(IF(Scenario_Select="Scenario 1",'CBA Inputs'!Y$321-'CBA Inputs'!Y322,0)+IF(Scenario_Select="Scenario 2",'CBA Inputs'!Y$336-'CBA Inputs'!Y337,0)+IF(Scenario_Select="Scenario 3",'CBA Inputs'!Y$351-'CBA Inputs'!Y352,0)+IF(Scenario_Select="Scenario 4",'CBA Inputs'!Y$366-'CBA Inputs'!Y367,0)),0)*Z$55</f>
        <v>18353022</v>
      </c>
      <c r="AA221" s="17">
        <f>IFERROR('Option inputs'!$F15*(IF(Scenario_Select="Scenario 1",'CBA Inputs'!Z$321-'CBA Inputs'!Z322,0)+IF(Scenario_Select="Scenario 2",'CBA Inputs'!Z$336-'CBA Inputs'!Z337,0)+IF(Scenario_Select="Scenario 3",'CBA Inputs'!Z$351-'CBA Inputs'!Z352,0)+IF(Scenario_Select="Scenario 4",'CBA Inputs'!Z$366-'CBA Inputs'!Z367,0)),0)*AA$55</f>
        <v>-64485532</v>
      </c>
      <c r="AB221" s="17">
        <f>IFERROR('Option inputs'!$F15*(IF(Scenario_Select="Scenario 1",'CBA Inputs'!AA$321-'CBA Inputs'!AA322,0)+IF(Scenario_Select="Scenario 2",'CBA Inputs'!AA$336-'CBA Inputs'!AA337,0)+IF(Scenario_Select="Scenario 3",'CBA Inputs'!AA$351-'CBA Inputs'!AA352,0)+IF(Scenario_Select="Scenario 4",'CBA Inputs'!AA$366-'CBA Inputs'!AA367,0)),0)*AB$55</f>
        <v>-52385468</v>
      </c>
      <c r="AC221" s="17">
        <f>IFERROR('Option inputs'!$F15*(IF(Scenario_Select="Scenario 1",'CBA Inputs'!AB$321-'CBA Inputs'!AB322,0)+IF(Scenario_Select="Scenario 2",'CBA Inputs'!AB$336-'CBA Inputs'!AB337,0)+IF(Scenario_Select="Scenario 3",'CBA Inputs'!AB$351-'CBA Inputs'!AB352,0)+IF(Scenario_Select="Scenario 4",'CBA Inputs'!AB$366-'CBA Inputs'!AB367,0)),0)*AC$55</f>
        <v>93185107</v>
      </c>
      <c r="AD221" s="17">
        <f>IFERROR('Option inputs'!$F15*(IF(Scenario_Select="Scenario 1",'CBA Inputs'!AC$321-'CBA Inputs'!AC322,0)+IF(Scenario_Select="Scenario 2",'CBA Inputs'!AC$336-'CBA Inputs'!AC337,0)+IF(Scenario_Select="Scenario 3",'CBA Inputs'!AC$351-'CBA Inputs'!AC352,0)+IF(Scenario_Select="Scenario 4",'CBA Inputs'!AC$366-'CBA Inputs'!AC367,0)),0)*AD$55</f>
        <v>-14010265</v>
      </c>
      <c r="AE221" s="17">
        <f>IFERROR('Option inputs'!$F15*(IF(Scenario_Select="Scenario 1",'CBA Inputs'!AD$321-'CBA Inputs'!AD322,0)+IF(Scenario_Select="Scenario 2",'CBA Inputs'!AD$336-'CBA Inputs'!AD337,0)+IF(Scenario_Select="Scenario 3",'CBA Inputs'!AD$351-'CBA Inputs'!AD352,0)+IF(Scenario_Select="Scenario 4",'CBA Inputs'!AD$366-'CBA Inputs'!AD367,0)),0)*AE$55</f>
        <v>11283281</v>
      </c>
      <c r="AF221" s="17">
        <f>IFERROR('Option inputs'!$F15*(IF(Scenario_Select="Scenario 1",'CBA Inputs'!AE$321-'CBA Inputs'!AE322,0)+IF(Scenario_Select="Scenario 2",'CBA Inputs'!AE$336-'CBA Inputs'!AE337,0)+IF(Scenario_Select="Scenario 3",'CBA Inputs'!AE$351-'CBA Inputs'!AE352,0)+IF(Scenario_Select="Scenario 4",'CBA Inputs'!AE$366-'CBA Inputs'!AE367,0)),0)*AF$55</f>
        <v>-16525885</v>
      </c>
      <c r="AG221" s="17">
        <f>IFERROR('Option inputs'!$F15*(IF(Scenario_Select="Scenario 1",'CBA Inputs'!AF$321-'CBA Inputs'!AF322,0)+IF(Scenario_Select="Scenario 2",'CBA Inputs'!AF$336-'CBA Inputs'!AF337,0)+IF(Scenario_Select="Scenario 3",'CBA Inputs'!AF$351-'CBA Inputs'!AF352,0)+IF(Scenario_Select="Scenario 4",'CBA Inputs'!AF$366-'CBA Inputs'!AF367,0)),0)*AG$55</f>
        <v>0</v>
      </c>
      <c r="AH221" s="17">
        <f>IFERROR('Option inputs'!$F15*(IF(Scenario_Select="Scenario 1",'CBA Inputs'!AG$321-'CBA Inputs'!AG322,0)+IF(Scenario_Select="Scenario 2",'CBA Inputs'!AG$336-'CBA Inputs'!AG337,0)+IF(Scenario_Select="Scenario 3",'CBA Inputs'!AG$351-'CBA Inputs'!AG352,0)+IF(Scenario_Select="Scenario 4",'CBA Inputs'!AG$366-'CBA Inputs'!AG367,0)),0)*AH$55</f>
        <v>0</v>
      </c>
      <c r="AI221" s="17">
        <f>IFERROR('Option inputs'!$F15*(IF(Scenario_Select="Scenario 1",'CBA Inputs'!AH$321-'CBA Inputs'!AH322,0)+IF(Scenario_Select="Scenario 2",'CBA Inputs'!AH$336-'CBA Inputs'!AH337,0)+IF(Scenario_Select="Scenario 3",'CBA Inputs'!AH$351-'CBA Inputs'!AH352,0)+IF(Scenario_Select="Scenario 4",'CBA Inputs'!AH$366-'CBA Inputs'!AH367,0)),0)*AI$55</f>
        <v>0</v>
      </c>
      <c r="AJ221" s="17">
        <f>IFERROR('Option inputs'!$F15*(IF(Scenario_Select="Scenario 1",'CBA Inputs'!AI$321-'CBA Inputs'!AI322,0)+IF(Scenario_Select="Scenario 2",'CBA Inputs'!AI$336-'CBA Inputs'!AI337,0)+IF(Scenario_Select="Scenario 3",'CBA Inputs'!AI$351-'CBA Inputs'!AI352,0)+IF(Scenario_Select="Scenario 4",'CBA Inputs'!AI$366-'CBA Inputs'!AI367,0)),0)*AJ$55</f>
        <v>0</v>
      </c>
    </row>
    <row r="222" spans="2:36" x14ac:dyDescent="0.35">
      <c r="B222" s="9">
        <f>'Option inputs'!B16</f>
        <v>2</v>
      </c>
      <c r="C222" s="14" t="str">
        <f>+'Option inputs'!C16</f>
        <v>Option 1B</v>
      </c>
      <c r="D222" s="26"/>
      <c r="E222" s="12" t="s">
        <v>35</v>
      </c>
      <c r="F222" s="18">
        <f t="shared" si="51"/>
        <v>1173476205.5962539</v>
      </c>
      <c r="G222" s="17">
        <f>IFERROR('Option inputs'!$F16*(IF(Scenario_Select="Scenario 1",'CBA Inputs'!F$321-'CBA Inputs'!F323,0)+IF(Scenario_Select="Scenario 2",'CBA Inputs'!F$336-'CBA Inputs'!F338,0)+IF(Scenario_Select="Scenario 3",'CBA Inputs'!F$351-'CBA Inputs'!F353,0)+IF(Scenario_Select="Scenario 4",'CBA Inputs'!F$366-'CBA Inputs'!F368,0)),0)*G$55</f>
        <v>0</v>
      </c>
      <c r="H222" s="17">
        <f>IFERROR('Option inputs'!$F16*(IF(Scenario_Select="Scenario 1",'CBA Inputs'!G$321-'CBA Inputs'!G323,0)+IF(Scenario_Select="Scenario 2",'CBA Inputs'!G$336-'CBA Inputs'!G338,0)+IF(Scenario_Select="Scenario 3",'CBA Inputs'!G$351-'CBA Inputs'!G353,0)+IF(Scenario_Select="Scenario 4",'CBA Inputs'!G$366-'CBA Inputs'!G368,0)),0)*H$55</f>
        <v>49035</v>
      </c>
      <c r="I222" s="17">
        <f>IFERROR('Option inputs'!$F16*(IF(Scenario_Select="Scenario 1",'CBA Inputs'!H$321-'CBA Inputs'!H323,0)+IF(Scenario_Select="Scenario 2",'CBA Inputs'!H$336-'CBA Inputs'!H338,0)+IF(Scenario_Select="Scenario 3",'CBA Inputs'!H$351-'CBA Inputs'!H353,0)+IF(Scenario_Select="Scenario 4",'CBA Inputs'!H$366-'CBA Inputs'!H368,0)),0)*I$55</f>
        <v>9190</v>
      </c>
      <c r="J222" s="17">
        <f>IFERROR('Option inputs'!$F16*(IF(Scenario_Select="Scenario 1",'CBA Inputs'!I$321-'CBA Inputs'!I323,0)+IF(Scenario_Select="Scenario 2",'CBA Inputs'!I$336-'CBA Inputs'!I338,0)+IF(Scenario_Select="Scenario 3",'CBA Inputs'!I$351-'CBA Inputs'!I353,0)+IF(Scenario_Select="Scenario 4",'CBA Inputs'!I$366-'CBA Inputs'!I368,0)),0)*J$55</f>
        <v>11940</v>
      </c>
      <c r="K222" s="17">
        <f>IFERROR('Option inputs'!$F16*(IF(Scenario_Select="Scenario 1",'CBA Inputs'!J$321-'CBA Inputs'!J323,0)+IF(Scenario_Select="Scenario 2",'CBA Inputs'!J$336-'CBA Inputs'!J338,0)+IF(Scenario_Select="Scenario 3",'CBA Inputs'!J$351-'CBA Inputs'!J353,0)+IF(Scenario_Select="Scenario 4",'CBA Inputs'!J$366-'CBA Inputs'!J368,0)),0)*K$55</f>
        <v>333188874</v>
      </c>
      <c r="L222" s="17">
        <f>IFERROR('Option inputs'!$F16*(IF(Scenario_Select="Scenario 1",'CBA Inputs'!K$321-'CBA Inputs'!K323,0)+IF(Scenario_Select="Scenario 2",'CBA Inputs'!K$336-'CBA Inputs'!K338,0)+IF(Scenario_Select="Scenario 3",'CBA Inputs'!K$351-'CBA Inputs'!K353,0)+IF(Scenario_Select="Scenario 4",'CBA Inputs'!K$366-'CBA Inputs'!K368,0)),0)*L$55</f>
        <v>538213592</v>
      </c>
      <c r="M222" s="17">
        <f>IFERROR('Option inputs'!$F16*(IF(Scenario_Select="Scenario 1",'CBA Inputs'!L$321-'CBA Inputs'!L323,0)+IF(Scenario_Select="Scenario 2",'CBA Inputs'!L$336-'CBA Inputs'!L338,0)+IF(Scenario_Select="Scenario 3",'CBA Inputs'!L$351-'CBA Inputs'!L353,0)+IF(Scenario_Select="Scenario 4",'CBA Inputs'!L$366-'CBA Inputs'!L368,0)),0)*M$55</f>
        <v>31008916</v>
      </c>
      <c r="N222" s="17">
        <f>IFERROR('Option inputs'!$F16*(IF(Scenario_Select="Scenario 1",'CBA Inputs'!M$321-'CBA Inputs'!M323,0)+IF(Scenario_Select="Scenario 2",'CBA Inputs'!M$336-'CBA Inputs'!M338,0)+IF(Scenario_Select="Scenario 3",'CBA Inputs'!M$351-'CBA Inputs'!M353,0)+IF(Scenario_Select="Scenario 4",'CBA Inputs'!M$366-'CBA Inputs'!M368,0)),0)*N$55</f>
        <v>33373606</v>
      </c>
      <c r="O222" s="17">
        <f>IFERROR('Option inputs'!$F16*(IF(Scenario_Select="Scenario 1",'CBA Inputs'!N$321-'CBA Inputs'!N323,0)+IF(Scenario_Select="Scenario 2",'CBA Inputs'!N$336-'CBA Inputs'!N338,0)+IF(Scenario_Select="Scenario 3",'CBA Inputs'!N$351-'CBA Inputs'!N353,0)+IF(Scenario_Select="Scenario 4",'CBA Inputs'!N$366-'CBA Inputs'!N368,0)),0)*O$55</f>
        <v>-45944772</v>
      </c>
      <c r="P222" s="17">
        <f>IFERROR('Option inputs'!$F16*(IF(Scenario_Select="Scenario 1",'CBA Inputs'!O$321-'CBA Inputs'!O323,0)+IF(Scenario_Select="Scenario 2",'CBA Inputs'!O$336-'CBA Inputs'!O338,0)+IF(Scenario_Select="Scenario 3",'CBA Inputs'!O$351-'CBA Inputs'!O353,0)+IF(Scenario_Select="Scenario 4",'CBA Inputs'!O$366-'CBA Inputs'!O368,0)),0)*P$55</f>
        <v>304483018</v>
      </c>
      <c r="Q222" s="17">
        <f>IFERROR('Option inputs'!$F16*(IF(Scenario_Select="Scenario 1",'CBA Inputs'!P$321-'CBA Inputs'!P323,0)+IF(Scenario_Select="Scenario 2",'CBA Inputs'!P$336-'CBA Inputs'!P338,0)+IF(Scenario_Select="Scenario 3",'CBA Inputs'!P$351-'CBA Inputs'!P353,0)+IF(Scenario_Select="Scenario 4",'CBA Inputs'!P$366-'CBA Inputs'!P368,0)),0)*Q$55</f>
        <v>1321808069</v>
      </c>
      <c r="R222" s="17">
        <f>IFERROR('Option inputs'!$F16*(IF(Scenario_Select="Scenario 1",'CBA Inputs'!Q$321-'CBA Inputs'!Q323,0)+IF(Scenario_Select="Scenario 2",'CBA Inputs'!Q$336-'CBA Inputs'!Q338,0)+IF(Scenario_Select="Scenario 3",'CBA Inputs'!Q$351-'CBA Inputs'!Q353,0)+IF(Scenario_Select="Scenario 4",'CBA Inputs'!Q$366-'CBA Inputs'!Q368,0)),0)*R$55</f>
        <v>-819835101</v>
      </c>
      <c r="S222" s="17">
        <f>IFERROR('Option inputs'!$F16*(IF(Scenario_Select="Scenario 1",'CBA Inputs'!R$321-'CBA Inputs'!R323,0)+IF(Scenario_Select="Scenario 2",'CBA Inputs'!R$336-'CBA Inputs'!R338,0)+IF(Scenario_Select="Scenario 3",'CBA Inputs'!R$351-'CBA Inputs'!R353,0)+IF(Scenario_Select="Scenario 4",'CBA Inputs'!R$366-'CBA Inputs'!R368,0)),0)*S$55</f>
        <v>881858867</v>
      </c>
      <c r="T222" s="17">
        <f>IFERROR('Option inputs'!$F16*(IF(Scenario_Select="Scenario 1",'CBA Inputs'!S$321-'CBA Inputs'!S323,0)+IF(Scenario_Select="Scenario 2",'CBA Inputs'!S$336-'CBA Inputs'!S338,0)+IF(Scenario_Select="Scenario 3",'CBA Inputs'!S$351-'CBA Inputs'!S353,0)+IF(Scenario_Select="Scenario 4",'CBA Inputs'!S$366-'CBA Inputs'!S368,0)),0)*T$55</f>
        <v>-469868054</v>
      </c>
      <c r="U222" s="17">
        <f>IFERROR('Option inputs'!$F16*(IF(Scenario_Select="Scenario 1",'CBA Inputs'!T$321-'CBA Inputs'!T323,0)+IF(Scenario_Select="Scenario 2",'CBA Inputs'!T$336-'CBA Inputs'!T338,0)+IF(Scenario_Select="Scenario 3",'CBA Inputs'!T$351-'CBA Inputs'!T353,0)+IF(Scenario_Select="Scenario 4",'CBA Inputs'!T$366-'CBA Inputs'!T368,0)),0)*U$55</f>
        <v>-100146618</v>
      </c>
      <c r="V222" s="17">
        <f>IFERROR('Option inputs'!$F16*(IF(Scenario_Select="Scenario 1",'CBA Inputs'!U$321-'CBA Inputs'!U323,0)+IF(Scenario_Select="Scenario 2",'CBA Inputs'!U$336-'CBA Inputs'!U338,0)+IF(Scenario_Select="Scenario 3",'CBA Inputs'!U$351-'CBA Inputs'!U353,0)+IF(Scenario_Select="Scenario 4",'CBA Inputs'!U$366-'CBA Inputs'!U368,0)),0)*V$55</f>
        <v>36016988</v>
      </c>
      <c r="W222" s="17">
        <f>IFERROR('Option inputs'!$F16*(IF(Scenario_Select="Scenario 1",'CBA Inputs'!V$321-'CBA Inputs'!V323,0)+IF(Scenario_Select="Scenario 2",'CBA Inputs'!V$336-'CBA Inputs'!V338,0)+IF(Scenario_Select="Scenario 3",'CBA Inputs'!V$351-'CBA Inputs'!V353,0)+IF(Scenario_Select="Scenario 4",'CBA Inputs'!V$366-'CBA Inputs'!V368,0)),0)*W$55</f>
        <v>-259003686</v>
      </c>
      <c r="X222" s="17">
        <f>IFERROR('Option inputs'!$F16*(IF(Scenario_Select="Scenario 1",'CBA Inputs'!W$321-'CBA Inputs'!W323,0)+IF(Scenario_Select="Scenario 2",'CBA Inputs'!W$336-'CBA Inputs'!W338,0)+IF(Scenario_Select="Scenario 3",'CBA Inputs'!W$351-'CBA Inputs'!W353,0)+IF(Scenario_Select="Scenario 4",'CBA Inputs'!W$366-'CBA Inputs'!W368,0)),0)*X$55</f>
        <v>117419152</v>
      </c>
      <c r="Y222" s="17">
        <f>IFERROR('Option inputs'!$F16*(IF(Scenario_Select="Scenario 1",'CBA Inputs'!X$321-'CBA Inputs'!X323,0)+IF(Scenario_Select="Scenario 2",'CBA Inputs'!X$336-'CBA Inputs'!X338,0)+IF(Scenario_Select="Scenario 3",'CBA Inputs'!X$351-'CBA Inputs'!X353,0)+IF(Scenario_Select="Scenario 4",'CBA Inputs'!X$366-'CBA Inputs'!X368,0)),0)*Y$55</f>
        <v>-372142671</v>
      </c>
      <c r="Z222" s="17">
        <f>IFERROR('Option inputs'!$F16*(IF(Scenario_Select="Scenario 1",'CBA Inputs'!Y$321-'CBA Inputs'!Y323,0)+IF(Scenario_Select="Scenario 2",'CBA Inputs'!Y$336-'CBA Inputs'!Y338,0)+IF(Scenario_Select="Scenario 3",'CBA Inputs'!Y$351-'CBA Inputs'!Y353,0)+IF(Scenario_Select="Scenario 4",'CBA Inputs'!Y$366-'CBA Inputs'!Y368,0)),0)*Z$55</f>
        <v>86088568</v>
      </c>
      <c r="AA222" s="17">
        <f>IFERROR('Option inputs'!$F16*(IF(Scenario_Select="Scenario 1",'CBA Inputs'!Z$321-'CBA Inputs'!Z323,0)+IF(Scenario_Select="Scenario 2",'CBA Inputs'!Z$336-'CBA Inputs'!Z338,0)+IF(Scenario_Select="Scenario 3",'CBA Inputs'!Z$351-'CBA Inputs'!Z353,0)+IF(Scenario_Select="Scenario 4",'CBA Inputs'!Z$366-'CBA Inputs'!Z368,0)),0)*AA$55</f>
        <v>-49073262</v>
      </c>
      <c r="AB222" s="17">
        <f>IFERROR('Option inputs'!$F16*(IF(Scenario_Select="Scenario 1",'CBA Inputs'!AA$321-'CBA Inputs'!AA323,0)+IF(Scenario_Select="Scenario 2",'CBA Inputs'!AA$336-'CBA Inputs'!AA338,0)+IF(Scenario_Select="Scenario 3",'CBA Inputs'!AA$351-'CBA Inputs'!AA353,0)+IF(Scenario_Select="Scenario 4",'CBA Inputs'!AA$366-'CBA Inputs'!AA368,0)),0)*AB$55</f>
        <v>-12102786</v>
      </c>
      <c r="AC222" s="17">
        <f>IFERROR('Option inputs'!$F16*(IF(Scenario_Select="Scenario 1",'CBA Inputs'!AB$321-'CBA Inputs'!AB323,0)+IF(Scenario_Select="Scenario 2",'CBA Inputs'!AB$336-'CBA Inputs'!AB338,0)+IF(Scenario_Select="Scenario 3",'CBA Inputs'!AB$351-'CBA Inputs'!AB353,0)+IF(Scenario_Select="Scenario 4",'CBA Inputs'!AB$366-'CBA Inputs'!AB368,0)),0)*AC$55</f>
        <v>-34034219</v>
      </c>
      <c r="AD222" s="17">
        <f>IFERROR('Option inputs'!$F16*(IF(Scenario_Select="Scenario 1",'CBA Inputs'!AC$321-'CBA Inputs'!AC323,0)+IF(Scenario_Select="Scenario 2",'CBA Inputs'!AC$336-'CBA Inputs'!AC338,0)+IF(Scenario_Select="Scenario 3",'CBA Inputs'!AC$351-'CBA Inputs'!AC353,0)+IF(Scenario_Select="Scenario 4",'CBA Inputs'!AC$366-'CBA Inputs'!AC368,0)),0)*AD$55</f>
        <v>-13096352</v>
      </c>
      <c r="AE222" s="17">
        <f>IFERROR('Option inputs'!$F16*(IF(Scenario_Select="Scenario 1",'CBA Inputs'!AD$321-'CBA Inputs'!AD323,0)+IF(Scenario_Select="Scenario 2",'CBA Inputs'!AD$336-'CBA Inputs'!AD338,0)+IF(Scenario_Select="Scenario 3",'CBA Inputs'!AD$351-'CBA Inputs'!AD353,0)+IF(Scenario_Select="Scenario 4",'CBA Inputs'!AD$366-'CBA Inputs'!AD368,0)),0)*AE$55</f>
        <v>32240288</v>
      </c>
      <c r="AF222" s="17">
        <f>IFERROR('Option inputs'!$F16*(IF(Scenario_Select="Scenario 1",'CBA Inputs'!AE$321-'CBA Inputs'!AE323,0)+IF(Scenario_Select="Scenario 2",'CBA Inputs'!AE$336-'CBA Inputs'!AE338,0)+IF(Scenario_Select="Scenario 3",'CBA Inputs'!AE$351-'CBA Inputs'!AE353,0)+IF(Scenario_Select="Scenario 4",'CBA Inputs'!AE$366-'CBA Inputs'!AE368,0)),0)*AF$55</f>
        <v>-20398159</v>
      </c>
      <c r="AG222" s="17">
        <f>IFERROR('Option inputs'!$F16*(IF(Scenario_Select="Scenario 1",'CBA Inputs'!AF$321-'CBA Inputs'!AF323,0)+IF(Scenario_Select="Scenario 2",'CBA Inputs'!AF$336-'CBA Inputs'!AF338,0)+IF(Scenario_Select="Scenario 3",'CBA Inputs'!AF$351-'CBA Inputs'!AF353,0)+IF(Scenario_Select="Scenario 4",'CBA Inputs'!AF$366-'CBA Inputs'!AF368,0)),0)*AG$55</f>
        <v>0</v>
      </c>
      <c r="AH222" s="17">
        <f>IFERROR('Option inputs'!$F16*(IF(Scenario_Select="Scenario 1",'CBA Inputs'!AG$321-'CBA Inputs'!AG323,0)+IF(Scenario_Select="Scenario 2",'CBA Inputs'!AG$336-'CBA Inputs'!AG338,0)+IF(Scenario_Select="Scenario 3",'CBA Inputs'!AG$351-'CBA Inputs'!AG353,0)+IF(Scenario_Select="Scenario 4",'CBA Inputs'!AG$366-'CBA Inputs'!AG368,0)),0)*AH$55</f>
        <v>0</v>
      </c>
      <c r="AI222" s="17">
        <f>IFERROR('Option inputs'!$F16*(IF(Scenario_Select="Scenario 1",'CBA Inputs'!AH$321-'CBA Inputs'!AH323,0)+IF(Scenario_Select="Scenario 2",'CBA Inputs'!AH$336-'CBA Inputs'!AH338,0)+IF(Scenario_Select="Scenario 3",'CBA Inputs'!AH$351-'CBA Inputs'!AH353,0)+IF(Scenario_Select="Scenario 4",'CBA Inputs'!AH$366-'CBA Inputs'!AH368,0)),0)*AI$55</f>
        <v>0</v>
      </c>
      <c r="AJ222" s="17">
        <f>IFERROR('Option inputs'!$F16*(IF(Scenario_Select="Scenario 1",'CBA Inputs'!AI$321-'CBA Inputs'!AI323,0)+IF(Scenario_Select="Scenario 2",'CBA Inputs'!AI$336-'CBA Inputs'!AI338,0)+IF(Scenario_Select="Scenario 3",'CBA Inputs'!AI$351-'CBA Inputs'!AI353,0)+IF(Scenario_Select="Scenario 4",'CBA Inputs'!AI$366-'CBA Inputs'!AI368,0)),0)*AJ$55</f>
        <v>0</v>
      </c>
    </row>
    <row r="223" spans="2:36" x14ac:dyDescent="0.35">
      <c r="B223" s="9">
        <f>'Option inputs'!B17</f>
        <v>3</v>
      </c>
      <c r="C223" s="14" t="str">
        <f>+'Option inputs'!C17</f>
        <v>Option 1C</v>
      </c>
      <c r="D223" s="26"/>
      <c r="E223" s="12" t="s">
        <v>35</v>
      </c>
      <c r="F223" s="18">
        <f t="shared" si="51"/>
        <v>1038352261.9560642</v>
      </c>
      <c r="G223" s="17">
        <f>IFERROR('Option inputs'!$F17*(IF(Scenario_Select="Scenario 1",'CBA Inputs'!F$321-'CBA Inputs'!F324,0)+IF(Scenario_Select="Scenario 2",'CBA Inputs'!F$336-'CBA Inputs'!F339,0)+IF(Scenario_Select="Scenario 3",'CBA Inputs'!F$351-'CBA Inputs'!F354,0)+IF(Scenario_Select="Scenario 4",'CBA Inputs'!F$366-'CBA Inputs'!F369,0)),0)*G$55</f>
        <v>0</v>
      </c>
      <c r="H223" s="17">
        <f>IFERROR('Option inputs'!$F17*(IF(Scenario_Select="Scenario 1",'CBA Inputs'!G$321-'CBA Inputs'!G324,0)+IF(Scenario_Select="Scenario 2",'CBA Inputs'!G$336-'CBA Inputs'!G339,0)+IF(Scenario_Select="Scenario 3",'CBA Inputs'!G$351-'CBA Inputs'!G354,0)+IF(Scenario_Select="Scenario 4",'CBA Inputs'!G$366-'CBA Inputs'!G369,0)),0)*H$55</f>
        <v>7850</v>
      </c>
      <c r="I223" s="17">
        <f>IFERROR('Option inputs'!$F17*(IF(Scenario_Select="Scenario 1",'CBA Inputs'!H$321-'CBA Inputs'!H324,0)+IF(Scenario_Select="Scenario 2",'CBA Inputs'!H$336-'CBA Inputs'!H339,0)+IF(Scenario_Select="Scenario 3",'CBA Inputs'!H$351-'CBA Inputs'!H354,0)+IF(Scenario_Select="Scenario 4",'CBA Inputs'!H$366-'CBA Inputs'!H369,0)),0)*I$55</f>
        <v>248</v>
      </c>
      <c r="J223" s="17">
        <f>IFERROR('Option inputs'!$F17*(IF(Scenario_Select="Scenario 1",'CBA Inputs'!I$321-'CBA Inputs'!I324,0)+IF(Scenario_Select="Scenario 2",'CBA Inputs'!I$336-'CBA Inputs'!I339,0)+IF(Scenario_Select="Scenario 3",'CBA Inputs'!I$351-'CBA Inputs'!I354,0)+IF(Scenario_Select="Scenario 4",'CBA Inputs'!I$366-'CBA Inputs'!I369,0)),0)*J$55</f>
        <v>4792</v>
      </c>
      <c r="K223" s="17">
        <f>IFERROR('Option inputs'!$F17*(IF(Scenario_Select="Scenario 1",'CBA Inputs'!J$321-'CBA Inputs'!J324,0)+IF(Scenario_Select="Scenario 2",'CBA Inputs'!J$336-'CBA Inputs'!J339,0)+IF(Scenario_Select="Scenario 3",'CBA Inputs'!J$351-'CBA Inputs'!J354,0)+IF(Scenario_Select="Scenario 4",'CBA Inputs'!J$366-'CBA Inputs'!J369,0)),0)*K$55</f>
        <v>-17269558</v>
      </c>
      <c r="L223" s="17">
        <f>IFERROR('Option inputs'!$F17*(IF(Scenario_Select="Scenario 1",'CBA Inputs'!K$321-'CBA Inputs'!K324,0)+IF(Scenario_Select="Scenario 2",'CBA Inputs'!K$336-'CBA Inputs'!K339,0)+IF(Scenario_Select="Scenario 3",'CBA Inputs'!K$351-'CBA Inputs'!K354,0)+IF(Scenario_Select="Scenario 4",'CBA Inputs'!K$366-'CBA Inputs'!K369,0)),0)*L$55</f>
        <v>541409904</v>
      </c>
      <c r="M223" s="17">
        <f>IFERROR('Option inputs'!$F17*(IF(Scenario_Select="Scenario 1",'CBA Inputs'!L$321-'CBA Inputs'!L324,0)+IF(Scenario_Select="Scenario 2",'CBA Inputs'!L$336-'CBA Inputs'!L339,0)+IF(Scenario_Select="Scenario 3",'CBA Inputs'!L$351-'CBA Inputs'!L354,0)+IF(Scenario_Select="Scenario 4",'CBA Inputs'!L$366-'CBA Inputs'!L369,0)),0)*M$55</f>
        <v>33241276</v>
      </c>
      <c r="N223" s="17">
        <f>IFERROR('Option inputs'!$F17*(IF(Scenario_Select="Scenario 1",'CBA Inputs'!M$321-'CBA Inputs'!M324,0)+IF(Scenario_Select="Scenario 2",'CBA Inputs'!M$336-'CBA Inputs'!M339,0)+IF(Scenario_Select="Scenario 3",'CBA Inputs'!M$351-'CBA Inputs'!M354,0)+IF(Scenario_Select="Scenario 4",'CBA Inputs'!M$366-'CBA Inputs'!M369,0)),0)*N$55</f>
        <v>25460520</v>
      </c>
      <c r="O223" s="17">
        <f>IFERROR('Option inputs'!$F17*(IF(Scenario_Select="Scenario 1",'CBA Inputs'!N$321-'CBA Inputs'!N324,0)+IF(Scenario_Select="Scenario 2",'CBA Inputs'!N$336-'CBA Inputs'!N339,0)+IF(Scenario_Select="Scenario 3",'CBA Inputs'!N$351-'CBA Inputs'!N354,0)+IF(Scenario_Select="Scenario 4",'CBA Inputs'!N$366-'CBA Inputs'!N369,0)),0)*O$55</f>
        <v>-48677840</v>
      </c>
      <c r="P223" s="17">
        <f>IFERROR('Option inputs'!$F17*(IF(Scenario_Select="Scenario 1",'CBA Inputs'!O$321-'CBA Inputs'!O324,0)+IF(Scenario_Select="Scenario 2",'CBA Inputs'!O$336-'CBA Inputs'!O339,0)+IF(Scenario_Select="Scenario 3",'CBA Inputs'!O$351-'CBA Inputs'!O354,0)+IF(Scenario_Select="Scenario 4",'CBA Inputs'!O$366-'CBA Inputs'!O369,0)),0)*P$55</f>
        <v>319427551</v>
      </c>
      <c r="Q223" s="17">
        <f>IFERROR('Option inputs'!$F17*(IF(Scenario_Select="Scenario 1",'CBA Inputs'!P$321-'CBA Inputs'!P324,0)+IF(Scenario_Select="Scenario 2",'CBA Inputs'!P$336-'CBA Inputs'!P339,0)+IF(Scenario_Select="Scenario 3",'CBA Inputs'!P$351-'CBA Inputs'!P354,0)+IF(Scenario_Select="Scenario 4",'CBA Inputs'!P$366-'CBA Inputs'!P369,0)),0)*Q$55</f>
        <v>1492625775</v>
      </c>
      <c r="R223" s="17">
        <f>IFERROR('Option inputs'!$F17*(IF(Scenario_Select="Scenario 1",'CBA Inputs'!Q$321-'CBA Inputs'!Q324,0)+IF(Scenario_Select="Scenario 2",'CBA Inputs'!Q$336-'CBA Inputs'!Q339,0)+IF(Scenario_Select="Scenario 3",'CBA Inputs'!Q$351-'CBA Inputs'!Q354,0)+IF(Scenario_Select="Scenario 4",'CBA Inputs'!Q$366-'CBA Inputs'!Q369,0)),0)*R$55</f>
        <v>-741366120</v>
      </c>
      <c r="S223" s="17">
        <f>IFERROR('Option inputs'!$F17*(IF(Scenario_Select="Scenario 1",'CBA Inputs'!R$321-'CBA Inputs'!R324,0)+IF(Scenario_Select="Scenario 2",'CBA Inputs'!R$336-'CBA Inputs'!R339,0)+IF(Scenario_Select="Scenario 3",'CBA Inputs'!R$351-'CBA Inputs'!R354,0)+IF(Scenario_Select="Scenario 4",'CBA Inputs'!R$366-'CBA Inputs'!R369,0)),0)*S$55</f>
        <v>881136157</v>
      </c>
      <c r="T223" s="17">
        <f>IFERROR('Option inputs'!$F17*(IF(Scenario_Select="Scenario 1",'CBA Inputs'!S$321-'CBA Inputs'!S324,0)+IF(Scenario_Select="Scenario 2",'CBA Inputs'!S$336-'CBA Inputs'!S339,0)+IF(Scenario_Select="Scenario 3",'CBA Inputs'!S$351-'CBA Inputs'!S354,0)+IF(Scenario_Select="Scenario 4",'CBA Inputs'!S$366-'CBA Inputs'!S369,0)),0)*T$55</f>
        <v>-469868071</v>
      </c>
      <c r="U223" s="17">
        <f>IFERROR('Option inputs'!$F17*(IF(Scenario_Select="Scenario 1",'CBA Inputs'!T$321-'CBA Inputs'!T324,0)+IF(Scenario_Select="Scenario 2",'CBA Inputs'!T$336-'CBA Inputs'!T339,0)+IF(Scenario_Select="Scenario 3",'CBA Inputs'!T$351-'CBA Inputs'!T354,0)+IF(Scenario_Select="Scenario 4",'CBA Inputs'!T$366-'CBA Inputs'!T369,0)),0)*U$55</f>
        <v>-99981051</v>
      </c>
      <c r="V223" s="17">
        <f>IFERROR('Option inputs'!$F17*(IF(Scenario_Select="Scenario 1",'CBA Inputs'!U$321-'CBA Inputs'!U324,0)+IF(Scenario_Select="Scenario 2",'CBA Inputs'!U$336-'CBA Inputs'!U339,0)+IF(Scenario_Select="Scenario 3",'CBA Inputs'!U$351-'CBA Inputs'!U354,0)+IF(Scenario_Select="Scenario 4",'CBA Inputs'!U$366-'CBA Inputs'!U369,0)),0)*V$55</f>
        <v>35888940</v>
      </c>
      <c r="W223" s="17">
        <f>IFERROR('Option inputs'!$F17*(IF(Scenario_Select="Scenario 1",'CBA Inputs'!V$321-'CBA Inputs'!V324,0)+IF(Scenario_Select="Scenario 2",'CBA Inputs'!V$336-'CBA Inputs'!V339,0)+IF(Scenario_Select="Scenario 3",'CBA Inputs'!V$351-'CBA Inputs'!V354,0)+IF(Scenario_Select="Scenario 4",'CBA Inputs'!V$366-'CBA Inputs'!V369,0)),0)*W$55</f>
        <v>-258648365</v>
      </c>
      <c r="X223" s="17">
        <f>IFERROR('Option inputs'!$F17*(IF(Scenario_Select="Scenario 1",'CBA Inputs'!W$321-'CBA Inputs'!W324,0)+IF(Scenario_Select="Scenario 2",'CBA Inputs'!W$336-'CBA Inputs'!W339,0)+IF(Scenario_Select="Scenario 3",'CBA Inputs'!W$351-'CBA Inputs'!W354,0)+IF(Scenario_Select="Scenario 4",'CBA Inputs'!W$366-'CBA Inputs'!W369,0)),0)*X$55</f>
        <v>117126680</v>
      </c>
      <c r="Y223" s="17">
        <f>IFERROR('Option inputs'!$F17*(IF(Scenario_Select="Scenario 1",'CBA Inputs'!X$321-'CBA Inputs'!X324,0)+IF(Scenario_Select="Scenario 2",'CBA Inputs'!X$336-'CBA Inputs'!X339,0)+IF(Scenario_Select="Scenario 3",'CBA Inputs'!X$351-'CBA Inputs'!X354,0)+IF(Scenario_Select="Scenario 4",'CBA Inputs'!X$366-'CBA Inputs'!X369,0)),0)*Y$55</f>
        <v>-372162220</v>
      </c>
      <c r="Z223" s="17">
        <f>IFERROR('Option inputs'!$F17*(IF(Scenario_Select="Scenario 1",'CBA Inputs'!Y$321-'CBA Inputs'!Y324,0)+IF(Scenario_Select="Scenario 2",'CBA Inputs'!Y$336-'CBA Inputs'!Y339,0)+IF(Scenario_Select="Scenario 3",'CBA Inputs'!Y$351-'CBA Inputs'!Y354,0)+IF(Scenario_Select="Scenario 4",'CBA Inputs'!Y$366-'CBA Inputs'!Y369,0)),0)*Z$55</f>
        <v>85707869</v>
      </c>
      <c r="AA223" s="17">
        <f>IFERROR('Option inputs'!$F17*(IF(Scenario_Select="Scenario 1",'CBA Inputs'!Z$321-'CBA Inputs'!Z324,0)+IF(Scenario_Select="Scenario 2",'CBA Inputs'!Z$336-'CBA Inputs'!Z339,0)+IF(Scenario_Select="Scenario 3",'CBA Inputs'!Z$351-'CBA Inputs'!Z354,0)+IF(Scenario_Select="Scenario 4",'CBA Inputs'!Z$366-'CBA Inputs'!Z369,0)),0)*AA$55</f>
        <v>-48968776</v>
      </c>
      <c r="AB223" s="17">
        <f>IFERROR('Option inputs'!$F17*(IF(Scenario_Select="Scenario 1",'CBA Inputs'!AA$321-'CBA Inputs'!AA324,0)+IF(Scenario_Select="Scenario 2",'CBA Inputs'!AA$336-'CBA Inputs'!AA339,0)+IF(Scenario_Select="Scenario 3",'CBA Inputs'!AA$351-'CBA Inputs'!AA354,0)+IF(Scenario_Select="Scenario 4",'CBA Inputs'!AA$366-'CBA Inputs'!AA369,0)),0)*AB$55</f>
        <v>-12147442</v>
      </c>
      <c r="AC223" s="17">
        <f>IFERROR('Option inputs'!$F17*(IF(Scenario_Select="Scenario 1",'CBA Inputs'!AB$321-'CBA Inputs'!AB324,0)+IF(Scenario_Select="Scenario 2",'CBA Inputs'!AB$336-'CBA Inputs'!AB339,0)+IF(Scenario_Select="Scenario 3",'CBA Inputs'!AB$351-'CBA Inputs'!AB354,0)+IF(Scenario_Select="Scenario 4",'CBA Inputs'!AB$366-'CBA Inputs'!AB369,0)),0)*AC$55</f>
        <v>-33853337</v>
      </c>
      <c r="AD223" s="17">
        <f>IFERROR('Option inputs'!$F17*(IF(Scenario_Select="Scenario 1",'CBA Inputs'!AC$321-'CBA Inputs'!AC324,0)+IF(Scenario_Select="Scenario 2",'CBA Inputs'!AC$336-'CBA Inputs'!AC339,0)+IF(Scenario_Select="Scenario 3",'CBA Inputs'!AC$351-'CBA Inputs'!AC354,0)+IF(Scenario_Select="Scenario 4",'CBA Inputs'!AC$366-'CBA Inputs'!AC369,0)),0)*AD$55</f>
        <v>-13011444</v>
      </c>
      <c r="AE223" s="17">
        <f>IFERROR('Option inputs'!$F17*(IF(Scenario_Select="Scenario 1",'CBA Inputs'!AD$321-'CBA Inputs'!AD324,0)+IF(Scenario_Select="Scenario 2",'CBA Inputs'!AD$336-'CBA Inputs'!AD339,0)+IF(Scenario_Select="Scenario 3",'CBA Inputs'!AD$351-'CBA Inputs'!AD354,0)+IF(Scenario_Select="Scenario 4",'CBA Inputs'!AD$366-'CBA Inputs'!AD369,0)),0)*AE$55</f>
        <v>32225314</v>
      </c>
      <c r="AF223" s="17">
        <f>IFERROR('Option inputs'!$F17*(IF(Scenario_Select="Scenario 1",'CBA Inputs'!AE$321-'CBA Inputs'!AE324,0)+IF(Scenario_Select="Scenario 2",'CBA Inputs'!AE$336-'CBA Inputs'!AE339,0)+IF(Scenario_Select="Scenario 3",'CBA Inputs'!AE$351-'CBA Inputs'!AE354,0)+IF(Scenario_Select="Scenario 4",'CBA Inputs'!AE$366-'CBA Inputs'!AE369,0)),0)*AF$55</f>
        <v>-20409956</v>
      </c>
      <c r="AG223" s="17">
        <f>IFERROR('Option inputs'!$F17*(IF(Scenario_Select="Scenario 1",'CBA Inputs'!AF$321-'CBA Inputs'!AF324,0)+IF(Scenario_Select="Scenario 2",'CBA Inputs'!AF$336-'CBA Inputs'!AF339,0)+IF(Scenario_Select="Scenario 3",'CBA Inputs'!AF$351-'CBA Inputs'!AF354,0)+IF(Scenario_Select="Scenario 4",'CBA Inputs'!AF$366-'CBA Inputs'!AF369,0)),0)*AG$55</f>
        <v>0</v>
      </c>
      <c r="AH223" s="17">
        <f>IFERROR('Option inputs'!$F17*(IF(Scenario_Select="Scenario 1",'CBA Inputs'!AG$321-'CBA Inputs'!AG324,0)+IF(Scenario_Select="Scenario 2",'CBA Inputs'!AG$336-'CBA Inputs'!AG339,0)+IF(Scenario_Select="Scenario 3",'CBA Inputs'!AG$351-'CBA Inputs'!AG354,0)+IF(Scenario_Select="Scenario 4",'CBA Inputs'!AG$366-'CBA Inputs'!AG369,0)),0)*AH$55</f>
        <v>0</v>
      </c>
      <c r="AI223" s="17">
        <f>IFERROR('Option inputs'!$F17*(IF(Scenario_Select="Scenario 1",'CBA Inputs'!AH$321-'CBA Inputs'!AH324,0)+IF(Scenario_Select="Scenario 2",'CBA Inputs'!AH$336-'CBA Inputs'!AH339,0)+IF(Scenario_Select="Scenario 3",'CBA Inputs'!AH$351-'CBA Inputs'!AH354,0)+IF(Scenario_Select="Scenario 4",'CBA Inputs'!AH$366-'CBA Inputs'!AH369,0)),0)*AI$55</f>
        <v>0</v>
      </c>
      <c r="AJ223" s="17">
        <f>IFERROR('Option inputs'!$F17*(IF(Scenario_Select="Scenario 1",'CBA Inputs'!AI$321-'CBA Inputs'!AI324,0)+IF(Scenario_Select="Scenario 2",'CBA Inputs'!AI$336-'CBA Inputs'!AI339,0)+IF(Scenario_Select="Scenario 3",'CBA Inputs'!AI$351-'CBA Inputs'!AI354,0)+IF(Scenario_Select="Scenario 4",'CBA Inputs'!AI$366-'CBA Inputs'!AI369,0)),0)*AJ$55</f>
        <v>0</v>
      </c>
    </row>
    <row r="224" spans="2:36" x14ac:dyDescent="0.35">
      <c r="B224" s="9">
        <f>'Option inputs'!B18</f>
        <v>4</v>
      </c>
      <c r="C224" s="14" t="str">
        <f>+'Option inputs'!C18</f>
        <v>Option 2A</v>
      </c>
      <c r="D224" s="26"/>
      <c r="E224" s="12" t="s">
        <v>35</v>
      </c>
      <c r="F224" s="18">
        <f t="shared" si="51"/>
        <v>496180998.89432532</v>
      </c>
      <c r="G224" s="17">
        <f>IFERROR('Option inputs'!$F18*(IF(Scenario_Select="Scenario 1",'CBA Inputs'!F$321-'CBA Inputs'!F325,0)+IF(Scenario_Select="Scenario 2",'CBA Inputs'!F$336-'CBA Inputs'!F340,0)+IF(Scenario_Select="Scenario 3",'CBA Inputs'!F$351-'CBA Inputs'!F355,0)+IF(Scenario_Select="Scenario 4",'CBA Inputs'!F$366-'CBA Inputs'!F370,0)),0)*G$55</f>
        <v>0</v>
      </c>
      <c r="H224" s="17">
        <f>IFERROR('Option inputs'!$F18*(IF(Scenario_Select="Scenario 1",'CBA Inputs'!G$321-'CBA Inputs'!G325,0)+IF(Scenario_Select="Scenario 2",'CBA Inputs'!G$336-'CBA Inputs'!G340,0)+IF(Scenario_Select="Scenario 3",'CBA Inputs'!G$351-'CBA Inputs'!G355,0)+IF(Scenario_Select="Scenario 4",'CBA Inputs'!G$366-'CBA Inputs'!G370,0)),0)*H$55</f>
        <v>-11743</v>
      </c>
      <c r="I224" s="17">
        <f>IFERROR('Option inputs'!$F18*(IF(Scenario_Select="Scenario 1",'CBA Inputs'!H$321-'CBA Inputs'!H325,0)+IF(Scenario_Select="Scenario 2",'CBA Inputs'!H$336-'CBA Inputs'!H340,0)+IF(Scenario_Select="Scenario 3",'CBA Inputs'!H$351-'CBA Inputs'!H355,0)+IF(Scenario_Select="Scenario 4",'CBA Inputs'!H$366-'CBA Inputs'!H370,0)),0)*I$55</f>
        <v>1483</v>
      </c>
      <c r="J224" s="17">
        <f>IFERROR('Option inputs'!$F18*(IF(Scenario_Select="Scenario 1",'CBA Inputs'!I$321-'CBA Inputs'!I325,0)+IF(Scenario_Select="Scenario 2",'CBA Inputs'!I$336-'CBA Inputs'!I340,0)+IF(Scenario_Select="Scenario 3",'CBA Inputs'!I$351-'CBA Inputs'!I355,0)+IF(Scenario_Select="Scenario 4",'CBA Inputs'!I$366-'CBA Inputs'!I370,0)),0)*J$55</f>
        <v>-15685</v>
      </c>
      <c r="K224" s="17">
        <f>IFERROR('Option inputs'!$F18*(IF(Scenario_Select="Scenario 1",'CBA Inputs'!J$321-'CBA Inputs'!J325,0)+IF(Scenario_Select="Scenario 2",'CBA Inputs'!J$336-'CBA Inputs'!J340,0)+IF(Scenario_Select="Scenario 3",'CBA Inputs'!J$351-'CBA Inputs'!J355,0)+IF(Scenario_Select="Scenario 4",'CBA Inputs'!J$366-'CBA Inputs'!J370,0)),0)*K$55</f>
        <v>505165263</v>
      </c>
      <c r="L224" s="17">
        <f>IFERROR('Option inputs'!$F18*(IF(Scenario_Select="Scenario 1",'CBA Inputs'!K$321-'CBA Inputs'!K325,0)+IF(Scenario_Select="Scenario 2",'CBA Inputs'!K$336-'CBA Inputs'!K340,0)+IF(Scenario_Select="Scenario 3",'CBA Inputs'!K$351-'CBA Inputs'!K355,0)+IF(Scenario_Select="Scenario 4",'CBA Inputs'!K$366-'CBA Inputs'!K370,0)),0)*L$55</f>
        <v>536134161</v>
      </c>
      <c r="M224" s="17">
        <f>IFERROR('Option inputs'!$F18*(IF(Scenario_Select="Scenario 1",'CBA Inputs'!L$321-'CBA Inputs'!L325,0)+IF(Scenario_Select="Scenario 2",'CBA Inputs'!L$336-'CBA Inputs'!L340,0)+IF(Scenario_Select="Scenario 3",'CBA Inputs'!L$351-'CBA Inputs'!L355,0)+IF(Scenario_Select="Scenario 4",'CBA Inputs'!L$366-'CBA Inputs'!L370,0)),0)*M$55</f>
        <v>29382795</v>
      </c>
      <c r="N224" s="17">
        <f>IFERROR('Option inputs'!$F18*(IF(Scenario_Select="Scenario 1",'CBA Inputs'!M$321-'CBA Inputs'!M325,0)+IF(Scenario_Select="Scenario 2",'CBA Inputs'!M$336-'CBA Inputs'!M340,0)+IF(Scenario_Select="Scenario 3",'CBA Inputs'!M$351-'CBA Inputs'!M355,0)+IF(Scenario_Select="Scenario 4",'CBA Inputs'!M$366-'CBA Inputs'!M370,0)),0)*N$55</f>
        <v>19175343</v>
      </c>
      <c r="O224" s="17">
        <f>IFERROR('Option inputs'!$F18*(IF(Scenario_Select="Scenario 1",'CBA Inputs'!N$321-'CBA Inputs'!N325,0)+IF(Scenario_Select="Scenario 2",'CBA Inputs'!N$336-'CBA Inputs'!N340,0)+IF(Scenario_Select="Scenario 3",'CBA Inputs'!N$351-'CBA Inputs'!N355,0)+IF(Scenario_Select="Scenario 4",'CBA Inputs'!N$366-'CBA Inputs'!N370,0)),0)*O$55</f>
        <v>-50561739</v>
      </c>
      <c r="P224" s="17">
        <f>IFERROR('Option inputs'!$F18*(IF(Scenario_Select="Scenario 1",'CBA Inputs'!O$321-'CBA Inputs'!O325,0)+IF(Scenario_Select="Scenario 2",'CBA Inputs'!O$336-'CBA Inputs'!O340,0)+IF(Scenario_Select="Scenario 3",'CBA Inputs'!O$351-'CBA Inputs'!O355,0)+IF(Scenario_Select="Scenario 4",'CBA Inputs'!O$366-'CBA Inputs'!O370,0)),0)*P$55</f>
        <v>310865478</v>
      </c>
      <c r="Q224" s="17">
        <f>IFERROR('Option inputs'!$F18*(IF(Scenario_Select="Scenario 1",'CBA Inputs'!P$321-'CBA Inputs'!P325,0)+IF(Scenario_Select="Scenario 2",'CBA Inputs'!P$336-'CBA Inputs'!P340,0)+IF(Scenario_Select="Scenario 3",'CBA Inputs'!P$351-'CBA Inputs'!P355,0)+IF(Scenario_Select="Scenario 4",'CBA Inputs'!P$366-'CBA Inputs'!P370,0)),0)*Q$55</f>
        <v>630940292</v>
      </c>
      <c r="R224" s="17">
        <f>IFERROR('Option inputs'!$F18*(IF(Scenario_Select="Scenario 1",'CBA Inputs'!Q$321-'CBA Inputs'!Q325,0)+IF(Scenario_Select="Scenario 2",'CBA Inputs'!Q$336-'CBA Inputs'!Q340,0)+IF(Scenario_Select="Scenario 3",'CBA Inputs'!Q$351-'CBA Inputs'!Q355,0)+IF(Scenario_Select="Scenario 4",'CBA Inputs'!Q$366-'CBA Inputs'!Q370,0)),0)*R$55</f>
        <v>-448248292</v>
      </c>
      <c r="S224" s="17">
        <f>IFERROR('Option inputs'!$F18*(IF(Scenario_Select="Scenario 1",'CBA Inputs'!R$321-'CBA Inputs'!R325,0)+IF(Scenario_Select="Scenario 2",'CBA Inputs'!R$336-'CBA Inputs'!R340,0)+IF(Scenario_Select="Scenario 3",'CBA Inputs'!R$351-'CBA Inputs'!R355,0)+IF(Scenario_Select="Scenario 4",'CBA Inputs'!R$366-'CBA Inputs'!R370,0)),0)*S$55</f>
        <v>-21945915</v>
      </c>
      <c r="T224" s="17">
        <f>IFERROR('Option inputs'!$F18*(IF(Scenario_Select="Scenario 1",'CBA Inputs'!S$321-'CBA Inputs'!S325,0)+IF(Scenario_Select="Scenario 2",'CBA Inputs'!S$336-'CBA Inputs'!S340,0)+IF(Scenario_Select="Scenario 3",'CBA Inputs'!S$351-'CBA Inputs'!S355,0)+IF(Scenario_Select="Scenario 4",'CBA Inputs'!S$366-'CBA Inputs'!S370,0)),0)*T$55</f>
        <v>39035972</v>
      </c>
      <c r="U224" s="17">
        <f>IFERROR('Option inputs'!$F18*(IF(Scenario_Select="Scenario 1",'CBA Inputs'!T$321-'CBA Inputs'!T325,0)+IF(Scenario_Select="Scenario 2",'CBA Inputs'!T$336-'CBA Inputs'!T340,0)+IF(Scenario_Select="Scenario 3",'CBA Inputs'!T$351-'CBA Inputs'!T355,0)+IF(Scenario_Select="Scenario 4",'CBA Inputs'!T$366-'CBA Inputs'!T370,0)),0)*U$55</f>
        <v>-88591502</v>
      </c>
      <c r="V224" s="17">
        <f>IFERROR('Option inputs'!$F18*(IF(Scenario_Select="Scenario 1",'CBA Inputs'!U$321-'CBA Inputs'!U325,0)+IF(Scenario_Select="Scenario 2",'CBA Inputs'!U$336-'CBA Inputs'!U340,0)+IF(Scenario_Select="Scenario 3",'CBA Inputs'!U$351-'CBA Inputs'!U355,0)+IF(Scenario_Select="Scenario 4",'CBA Inputs'!U$366-'CBA Inputs'!U370,0)),0)*V$55</f>
        <v>-126725717</v>
      </c>
      <c r="W224" s="17">
        <f>IFERROR('Option inputs'!$F18*(IF(Scenario_Select="Scenario 1",'CBA Inputs'!V$321-'CBA Inputs'!V325,0)+IF(Scenario_Select="Scenario 2",'CBA Inputs'!V$336-'CBA Inputs'!V340,0)+IF(Scenario_Select="Scenario 3",'CBA Inputs'!V$351-'CBA Inputs'!V355,0)+IF(Scenario_Select="Scenario 4",'CBA Inputs'!V$366-'CBA Inputs'!V370,0)),0)*W$55</f>
        <v>45226366</v>
      </c>
      <c r="X224" s="17">
        <f>IFERROR('Option inputs'!$F18*(IF(Scenario_Select="Scenario 1",'CBA Inputs'!W$321-'CBA Inputs'!W325,0)+IF(Scenario_Select="Scenario 2",'CBA Inputs'!W$336-'CBA Inputs'!W340,0)+IF(Scenario_Select="Scenario 3",'CBA Inputs'!W$351-'CBA Inputs'!W355,0)+IF(Scenario_Select="Scenario 4",'CBA Inputs'!W$366-'CBA Inputs'!W370,0)),0)*X$55</f>
        <v>-20471773</v>
      </c>
      <c r="Y224" s="17">
        <f>IFERROR('Option inputs'!$F18*(IF(Scenario_Select="Scenario 1",'CBA Inputs'!X$321-'CBA Inputs'!X325,0)+IF(Scenario_Select="Scenario 2",'CBA Inputs'!X$336-'CBA Inputs'!X340,0)+IF(Scenario_Select="Scenario 3",'CBA Inputs'!X$351-'CBA Inputs'!X355,0)+IF(Scenario_Select="Scenario 4",'CBA Inputs'!X$366-'CBA Inputs'!X370,0)),0)*Y$55</f>
        <v>-1480849984</v>
      </c>
      <c r="Z224" s="17">
        <f>IFERROR('Option inputs'!$F18*(IF(Scenario_Select="Scenario 1",'CBA Inputs'!Y$321-'CBA Inputs'!Y325,0)+IF(Scenario_Select="Scenario 2",'CBA Inputs'!Y$336-'CBA Inputs'!Y340,0)+IF(Scenario_Select="Scenario 3",'CBA Inputs'!Y$351-'CBA Inputs'!Y355,0)+IF(Scenario_Select="Scenario 4",'CBA Inputs'!Y$366-'CBA Inputs'!Y370,0)),0)*Z$55</f>
        <v>-74257053</v>
      </c>
      <c r="AA224" s="17">
        <f>IFERROR('Option inputs'!$F18*(IF(Scenario_Select="Scenario 1",'CBA Inputs'!Z$321-'CBA Inputs'!Z325,0)+IF(Scenario_Select="Scenario 2",'CBA Inputs'!Z$336-'CBA Inputs'!Z340,0)+IF(Scenario_Select="Scenario 3",'CBA Inputs'!Z$351-'CBA Inputs'!Z355,0)+IF(Scenario_Select="Scenario 4",'CBA Inputs'!Z$366-'CBA Inputs'!Z370,0)),0)*AA$55</f>
        <v>99031806</v>
      </c>
      <c r="AB224" s="17">
        <f>IFERROR('Option inputs'!$F18*(IF(Scenario_Select="Scenario 1",'CBA Inputs'!AA$321-'CBA Inputs'!AA325,0)+IF(Scenario_Select="Scenario 2",'CBA Inputs'!AA$336-'CBA Inputs'!AA340,0)+IF(Scenario_Select="Scenario 3",'CBA Inputs'!AA$351-'CBA Inputs'!AA355,0)+IF(Scenario_Select="Scenario 4",'CBA Inputs'!AA$366-'CBA Inputs'!AA370,0)),0)*AB$55</f>
        <v>47845609</v>
      </c>
      <c r="AC224" s="17">
        <f>IFERROR('Option inputs'!$F18*(IF(Scenario_Select="Scenario 1",'CBA Inputs'!AB$321-'CBA Inputs'!AB325,0)+IF(Scenario_Select="Scenario 2",'CBA Inputs'!AB$336-'CBA Inputs'!AB340,0)+IF(Scenario_Select="Scenario 3",'CBA Inputs'!AB$351-'CBA Inputs'!AB355,0)+IF(Scenario_Select="Scenario 4",'CBA Inputs'!AB$366-'CBA Inputs'!AB370,0)),0)*AC$55</f>
        <v>-41772438</v>
      </c>
      <c r="AD224" s="17">
        <f>IFERROR('Option inputs'!$F18*(IF(Scenario_Select="Scenario 1",'CBA Inputs'!AC$321-'CBA Inputs'!AC325,0)+IF(Scenario_Select="Scenario 2",'CBA Inputs'!AC$336-'CBA Inputs'!AC340,0)+IF(Scenario_Select="Scenario 3",'CBA Inputs'!AC$351-'CBA Inputs'!AC355,0)+IF(Scenario_Select="Scenario 4",'CBA Inputs'!AC$366-'CBA Inputs'!AC370,0)),0)*AD$55</f>
        <v>-161065290</v>
      </c>
      <c r="AE224" s="17">
        <f>IFERROR('Option inputs'!$F18*(IF(Scenario_Select="Scenario 1",'CBA Inputs'!AD$321-'CBA Inputs'!AD325,0)+IF(Scenario_Select="Scenario 2",'CBA Inputs'!AD$336-'CBA Inputs'!AD340,0)+IF(Scenario_Select="Scenario 3",'CBA Inputs'!AD$351-'CBA Inputs'!AD355,0)+IF(Scenario_Select="Scenario 4",'CBA Inputs'!AD$366-'CBA Inputs'!AD370,0)),0)*AE$55</f>
        <v>100122454</v>
      </c>
      <c r="AF224" s="17">
        <f>IFERROR('Option inputs'!$F18*(IF(Scenario_Select="Scenario 1",'CBA Inputs'!AE$321-'CBA Inputs'!AE325,0)+IF(Scenario_Select="Scenario 2",'CBA Inputs'!AE$336-'CBA Inputs'!AE340,0)+IF(Scenario_Select="Scenario 3",'CBA Inputs'!AE$351-'CBA Inputs'!AE355,0)+IF(Scenario_Select="Scenario 4",'CBA Inputs'!AE$366-'CBA Inputs'!AE370,0)),0)*AF$55</f>
        <v>-1354865</v>
      </c>
      <c r="AG224" s="17">
        <f>IFERROR('Option inputs'!$F18*(IF(Scenario_Select="Scenario 1",'CBA Inputs'!AF$321-'CBA Inputs'!AF325,0)+IF(Scenario_Select="Scenario 2",'CBA Inputs'!AF$336-'CBA Inputs'!AF340,0)+IF(Scenario_Select="Scenario 3",'CBA Inputs'!AF$351-'CBA Inputs'!AF355,0)+IF(Scenario_Select="Scenario 4",'CBA Inputs'!AF$366-'CBA Inputs'!AF370,0)),0)*AG$55</f>
        <v>0</v>
      </c>
      <c r="AH224" s="17">
        <f>IFERROR('Option inputs'!$F18*(IF(Scenario_Select="Scenario 1",'CBA Inputs'!AG$321-'CBA Inputs'!AG325,0)+IF(Scenario_Select="Scenario 2",'CBA Inputs'!AG$336-'CBA Inputs'!AG340,0)+IF(Scenario_Select="Scenario 3",'CBA Inputs'!AG$351-'CBA Inputs'!AG355,0)+IF(Scenario_Select="Scenario 4",'CBA Inputs'!AG$366-'CBA Inputs'!AG370,0)),0)*AH$55</f>
        <v>0</v>
      </c>
      <c r="AI224" s="17">
        <f>IFERROR('Option inputs'!$F18*(IF(Scenario_Select="Scenario 1",'CBA Inputs'!AH$321-'CBA Inputs'!AH325,0)+IF(Scenario_Select="Scenario 2",'CBA Inputs'!AH$336-'CBA Inputs'!AH340,0)+IF(Scenario_Select="Scenario 3",'CBA Inputs'!AH$351-'CBA Inputs'!AH355,0)+IF(Scenario_Select="Scenario 4",'CBA Inputs'!AH$366-'CBA Inputs'!AH370,0)),0)*AI$55</f>
        <v>0</v>
      </c>
      <c r="AJ224" s="17">
        <f>IFERROR('Option inputs'!$F18*(IF(Scenario_Select="Scenario 1",'CBA Inputs'!AI$321-'CBA Inputs'!AI325,0)+IF(Scenario_Select="Scenario 2",'CBA Inputs'!AI$336-'CBA Inputs'!AI340,0)+IF(Scenario_Select="Scenario 3",'CBA Inputs'!AI$351-'CBA Inputs'!AI355,0)+IF(Scenario_Select="Scenario 4",'CBA Inputs'!AI$366-'CBA Inputs'!AI370,0)),0)*AJ$55</f>
        <v>0</v>
      </c>
    </row>
    <row r="225" spans="2:36" x14ac:dyDescent="0.35">
      <c r="B225" s="9">
        <f>'Option inputs'!B19</f>
        <v>5</v>
      </c>
      <c r="C225" s="14" t="str">
        <f>+'Option inputs'!C19</f>
        <v>Option 2B</v>
      </c>
      <c r="D225" s="26"/>
      <c r="E225" s="12" t="s">
        <v>35</v>
      </c>
      <c r="F225" s="18">
        <f t="shared" si="51"/>
        <v>674343917.02064979</v>
      </c>
      <c r="G225" s="17">
        <f>IFERROR('Option inputs'!$F19*(IF(Scenario_Select="Scenario 1",'CBA Inputs'!F$321-'CBA Inputs'!F326,0)+IF(Scenario_Select="Scenario 2",'CBA Inputs'!F$336-'CBA Inputs'!F341,0)+IF(Scenario_Select="Scenario 3",'CBA Inputs'!F$351-'CBA Inputs'!F356,0)+IF(Scenario_Select="Scenario 4",'CBA Inputs'!F$366-'CBA Inputs'!F371,0)),0)*G$55</f>
        <v>0</v>
      </c>
      <c r="H225" s="17">
        <f>IFERROR('Option inputs'!$F19*(IF(Scenario_Select="Scenario 1",'CBA Inputs'!G$321-'CBA Inputs'!G326,0)+IF(Scenario_Select="Scenario 2",'CBA Inputs'!G$336-'CBA Inputs'!G341,0)+IF(Scenario_Select="Scenario 3",'CBA Inputs'!G$351-'CBA Inputs'!G356,0)+IF(Scenario_Select="Scenario 4",'CBA Inputs'!G$366-'CBA Inputs'!G371,0)),0)*H$55</f>
        <v>1283</v>
      </c>
      <c r="I225" s="17">
        <f>IFERROR('Option inputs'!$F19*(IF(Scenario_Select="Scenario 1",'CBA Inputs'!H$321-'CBA Inputs'!H326,0)+IF(Scenario_Select="Scenario 2",'CBA Inputs'!H$336-'CBA Inputs'!H341,0)+IF(Scenario_Select="Scenario 3",'CBA Inputs'!H$351-'CBA Inputs'!H356,0)+IF(Scenario_Select="Scenario 4",'CBA Inputs'!H$366-'CBA Inputs'!H371,0)),0)*I$55</f>
        <v>2333</v>
      </c>
      <c r="J225" s="17">
        <f>IFERROR('Option inputs'!$F19*(IF(Scenario_Select="Scenario 1",'CBA Inputs'!I$321-'CBA Inputs'!I326,0)+IF(Scenario_Select="Scenario 2",'CBA Inputs'!I$336-'CBA Inputs'!I341,0)+IF(Scenario_Select="Scenario 3",'CBA Inputs'!I$351-'CBA Inputs'!I356,0)+IF(Scenario_Select="Scenario 4",'CBA Inputs'!I$366-'CBA Inputs'!I371,0)),0)*J$55</f>
        <v>-4444</v>
      </c>
      <c r="K225" s="17">
        <f>IFERROR('Option inputs'!$F19*(IF(Scenario_Select="Scenario 1",'CBA Inputs'!J$321-'CBA Inputs'!J326,0)+IF(Scenario_Select="Scenario 2",'CBA Inputs'!J$336-'CBA Inputs'!J341,0)+IF(Scenario_Select="Scenario 3",'CBA Inputs'!J$351-'CBA Inputs'!J356,0)+IF(Scenario_Select="Scenario 4",'CBA Inputs'!J$366-'CBA Inputs'!J371,0)),0)*K$55</f>
        <v>550342231</v>
      </c>
      <c r="L225" s="17">
        <f>IFERROR('Option inputs'!$F19*(IF(Scenario_Select="Scenario 1",'CBA Inputs'!K$321-'CBA Inputs'!K326,0)+IF(Scenario_Select="Scenario 2",'CBA Inputs'!K$336-'CBA Inputs'!K341,0)+IF(Scenario_Select="Scenario 3",'CBA Inputs'!K$351-'CBA Inputs'!K356,0)+IF(Scenario_Select="Scenario 4",'CBA Inputs'!K$366-'CBA Inputs'!K371,0)),0)*L$55</f>
        <v>536372421</v>
      </c>
      <c r="M225" s="17">
        <f>IFERROR('Option inputs'!$F19*(IF(Scenario_Select="Scenario 1",'CBA Inputs'!L$321-'CBA Inputs'!L326,0)+IF(Scenario_Select="Scenario 2",'CBA Inputs'!L$336-'CBA Inputs'!L341,0)+IF(Scenario_Select="Scenario 3",'CBA Inputs'!L$351-'CBA Inputs'!L356,0)+IF(Scenario_Select="Scenario 4",'CBA Inputs'!L$366-'CBA Inputs'!L371,0)),0)*M$55</f>
        <v>29647982</v>
      </c>
      <c r="N225" s="17">
        <f>IFERROR('Option inputs'!$F19*(IF(Scenario_Select="Scenario 1",'CBA Inputs'!M$321-'CBA Inputs'!M326,0)+IF(Scenario_Select="Scenario 2",'CBA Inputs'!M$336-'CBA Inputs'!M341,0)+IF(Scenario_Select="Scenario 3",'CBA Inputs'!M$351-'CBA Inputs'!M356,0)+IF(Scenario_Select="Scenario 4",'CBA Inputs'!M$366-'CBA Inputs'!M371,0)),0)*N$55</f>
        <v>19524869</v>
      </c>
      <c r="O225" s="17">
        <f>IFERROR('Option inputs'!$F19*(IF(Scenario_Select="Scenario 1",'CBA Inputs'!N$321-'CBA Inputs'!N326,0)+IF(Scenario_Select="Scenario 2",'CBA Inputs'!N$336-'CBA Inputs'!N341,0)+IF(Scenario_Select="Scenario 3",'CBA Inputs'!N$351-'CBA Inputs'!N356,0)+IF(Scenario_Select="Scenario 4",'CBA Inputs'!N$366-'CBA Inputs'!N371,0)),0)*O$55</f>
        <v>-51083766</v>
      </c>
      <c r="P225" s="17">
        <f>IFERROR('Option inputs'!$F19*(IF(Scenario_Select="Scenario 1",'CBA Inputs'!O$321-'CBA Inputs'!O326,0)+IF(Scenario_Select="Scenario 2",'CBA Inputs'!O$336-'CBA Inputs'!O341,0)+IF(Scenario_Select="Scenario 3",'CBA Inputs'!O$351-'CBA Inputs'!O356,0)+IF(Scenario_Select="Scenario 4",'CBA Inputs'!O$366-'CBA Inputs'!O371,0)),0)*P$55</f>
        <v>309614398</v>
      </c>
      <c r="Q225" s="17">
        <f>IFERROR('Option inputs'!$F19*(IF(Scenario_Select="Scenario 1",'CBA Inputs'!P$321-'CBA Inputs'!P326,0)+IF(Scenario_Select="Scenario 2",'CBA Inputs'!P$336-'CBA Inputs'!P341,0)+IF(Scenario_Select="Scenario 3",'CBA Inputs'!P$351-'CBA Inputs'!P356,0)+IF(Scenario_Select="Scenario 4",'CBA Inputs'!P$366-'CBA Inputs'!P371,0)),0)*Q$55</f>
        <v>895336780</v>
      </c>
      <c r="R225" s="17">
        <f>IFERROR('Option inputs'!$F19*(IF(Scenario_Select="Scenario 1",'CBA Inputs'!Q$321-'CBA Inputs'!Q326,0)+IF(Scenario_Select="Scenario 2",'CBA Inputs'!Q$336-'CBA Inputs'!Q341,0)+IF(Scenario_Select="Scenario 3",'CBA Inputs'!Q$351-'CBA Inputs'!Q356,0)+IF(Scenario_Select="Scenario 4",'CBA Inputs'!Q$366-'CBA Inputs'!Q371,0)),0)*R$55</f>
        <v>-803217809</v>
      </c>
      <c r="S225" s="17">
        <f>IFERROR('Option inputs'!$F19*(IF(Scenario_Select="Scenario 1",'CBA Inputs'!R$321-'CBA Inputs'!R326,0)+IF(Scenario_Select="Scenario 2",'CBA Inputs'!R$336-'CBA Inputs'!R341,0)+IF(Scenario_Select="Scenario 3",'CBA Inputs'!R$351-'CBA Inputs'!R356,0)+IF(Scenario_Select="Scenario 4",'CBA Inputs'!R$366-'CBA Inputs'!R371,0)),0)*S$55</f>
        <v>830347191</v>
      </c>
      <c r="T225" s="17">
        <f>IFERROR('Option inputs'!$F19*(IF(Scenario_Select="Scenario 1",'CBA Inputs'!S$321-'CBA Inputs'!S326,0)+IF(Scenario_Select="Scenario 2",'CBA Inputs'!S$336-'CBA Inputs'!S341,0)+IF(Scenario_Select="Scenario 3",'CBA Inputs'!S$351-'CBA Inputs'!S356,0)+IF(Scenario_Select="Scenario 4",'CBA Inputs'!S$366-'CBA Inputs'!S371,0)),0)*T$55</f>
        <v>-199550787</v>
      </c>
      <c r="U225" s="17">
        <f>IFERROR('Option inputs'!$F19*(IF(Scenario_Select="Scenario 1",'CBA Inputs'!T$321-'CBA Inputs'!T326,0)+IF(Scenario_Select="Scenario 2",'CBA Inputs'!T$336-'CBA Inputs'!T341,0)+IF(Scenario_Select="Scenario 3",'CBA Inputs'!T$351-'CBA Inputs'!T356,0)+IF(Scenario_Select="Scenario 4",'CBA Inputs'!T$366-'CBA Inputs'!T371,0)),0)*U$55</f>
        <v>-130341589</v>
      </c>
      <c r="V225" s="17">
        <f>IFERROR('Option inputs'!$F19*(IF(Scenario_Select="Scenario 1",'CBA Inputs'!U$321-'CBA Inputs'!U326,0)+IF(Scenario_Select="Scenario 2",'CBA Inputs'!U$336-'CBA Inputs'!U341,0)+IF(Scenario_Select="Scenario 3",'CBA Inputs'!U$351-'CBA Inputs'!U356,0)+IF(Scenario_Select="Scenario 4",'CBA Inputs'!U$366-'CBA Inputs'!U371,0)),0)*V$55</f>
        <v>20580389</v>
      </c>
      <c r="W225" s="17">
        <f>IFERROR('Option inputs'!$F19*(IF(Scenario_Select="Scenario 1",'CBA Inputs'!V$321-'CBA Inputs'!V326,0)+IF(Scenario_Select="Scenario 2",'CBA Inputs'!V$336-'CBA Inputs'!V341,0)+IF(Scenario_Select="Scenario 3",'CBA Inputs'!V$351-'CBA Inputs'!V356,0)+IF(Scenario_Select="Scenario 4",'CBA Inputs'!V$366-'CBA Inputs'!V371,0)),0)*W$55</f>
        <v>-313607224</v>
      </c>
      <c r="X225" s="17">
        <f>IFERROR('Option inputs'!$F19*(IF(Scenario_Select="Scenario 1",'CBA Inputs'!W$321-'CBA Inputs'!W326,0)+IF(Scenario_Select="Scenario 2",'CBA Inputs'!W$336-'CBA Inputs'!W341,0)+IF(Scenario_Select="Scenario 3",'CBA Inputs'!W$351-'CBA Inputs'!W356,0)+IF(Scenario_Select="Scenario 4",'CBA Inputs'!W$366-'CBA Inputs'!W371,0)),0)*X$55</f>
        <v>41905565</v>
      </c>
      <c r="Y225" s="17">
        <f>IFERROR('Option inputs'!$F19*(IF(Scenario_Select="Scenario 1",'CBA Inputs'!X$321-'CBA Inputs'!X326,0)+IF(Scenario_Select="Scenario 2",'CBA Inputs'!X$336-'CBA Inputs'!X341,0)+IF(Scenario_Select="Scenario 3",'CBA Inputs'!X$351-'CBA Inputs'!X356,0)+IF(Scenario_Select="Scenario 4",'CBA Inputs'!X$366-'CBA Inputs'!X371,0)),0)*Y$55</f>
        <v>-1406930534</v>
      </c>
      <c r="Z225" s="17">
        <f>IFERROR('Option inputs'!$F19*(IF(Scenario_Select="Scenario 1",'CBA Inputs'!Y$321-'CBA Inputs'!Y326,0)+IF(Scenario_Select="Scenario 2",'CBA Inputs'!Y$336-'CBA Inputs'!Y341,0)+IF(Scenario_Select="Scenario 3",'CBA Inputs'!Y$351-'CBA Inputs'!Y356,0)+IF(Scenario_Select="Scenario 4",'CBA Inputs'!Y$366-'CBA Inputs'!Y371,0)),0)*Z$55</f>
        <v>-186182352</v>
      </c>
      <c r="AA225" s="17">
        <f>IFERROR('Option inputs'!$F19*(IF(Scenario_Select="Scenario 1",'CBA Inputs'!Z$321-'CBA Inputs'!Z326,0)+IF(Scenario_Select="Scenario 2",'CBA Inputs'!Z$336-'CBA Inputs'!Z341,0)+IF(Scenario_Select="Scenario 3",'CBA Inputs'!Z$351-'CBA Inputs'!Z356,0)+IF(Scenario_Select="Scenario 4",'CBA Inputs'!Z$366-'CBA Inputs'!Z371,0)),0)*AA$55</f>
        <v>-58288441</v>
      </c>
      <c r="AB225" s="17">
        <f>IFERROR('Option inputs'!$F19*(IF(Scenario_Select="Scenario 1",'CBA Inputs'!AA$321-'CBA Inputs'!AA326,0)+IF(Scenario_Select="Scenario 2",'CBA Inputs'!AA$336-'CBA Inputs'!AA341,0)+IF(Scenario_Select="Scenario 3",'CBA Inputs'!AA$351-'CBA Inputs'!AA356,0)+IF(Scenario_Select="Scenario 4",'CBA Inputs'!AA$366-'CBA Inputs'!AA371,0)),0)*AB$55</f>
        <v>56386714</v>
      </c>
      <c r="AC225" s="17">
        <f>IFERROR('Option inputs'!$F19*(IF(Scenario_Select="Scenario 1",'CBA Inputs'!AB$321-'CBA Inputs'!AB326,0)+IF(Scenario_Select="Scenario 2",'CBA Inputs'!AB$336-'CBA Inputs'!AB341,0)+IF(Scenario_Select="Scenario 3",'CBA Inputs'!AB$351-'CBA Inputs'!AB356,0)+IF(Scenario_Select="Scenario 4",'CBA Inputs'!AB$366-'CBA Inputs'!AB371,0)),0)*AC$55</f>
        <v>-2727346</v>
      </c>
      <c r="AD225" s="17">
        <f>IFERROR('Option inputs'!$F19*(IF(Scenario_Select="Scenario 1",'CBA Inputs'!AC$321-'CBA Inputs'!AC326,0)+IF(Scenario_Select="Scenario 2",'CBA Inputs'!AC$336-'CBA Inputs'!AC341,0)+IF(Scenario_Select="Scenario 3",'CBA Inputs'!AC$351-'CBA Inputs'!AC356,0)+IF(Scenario_Select="Scenario 4",'CBA Inputs'!AC$366-'CBA Inputs'!AC371,0)),0)*AD$55</f>
        <v>-210991784</v>
      </c>
      <c r="AE225" s="17">
        <f>IFERROR('Option inputs'!$F19*(IF(Scenario_Select="Scenario 1",'CBA Inputs'!AD$321-'CBA Inputs'!AD326,0)+IF(Scenario_Select="Scenario 2",'CBA Inputs'!AD$336-'CBA Inputs'!AD341,0)+IF(Scenario_Select="Scenario 3",'CBA Inputs'!AD$351-'CBA Inputs'!AD356,0)+IF(Scenario_Select="Scenario 4",'CBA Inputs'!AD$366-'CBA Inputs'!AD371,0)),0)*AE$55</f>
        <v>124766285</v>
      </c>
      <c r="AF225" s="17">
        <f>IFERROR('Option inputs'!$F19*(IF(Scenario_Select="Scenario 1",'CBA Inputs'!AE$321-'CBA Inputs'!AE326,0)+IF(Scenario_Select="Scenario 2",'CBA Inputs'!AE$336-'CBA Inputs'!AE341,0)+IF(Scenario_Select="Scenario 3",'CBA Inputs'!AE$351-'CBA Inputs'!AE356,0)+IF(Scenario_Select="Scenario 4",'CBA Inputs'!AE$366-'CBA Inputs'!AE371,0)),0)*AF$55</f>
        <v>-7625671</v>
      </c>
      <c r="AG225" s="17">
        <f>IFERROR('Option inputs'!$F19*(IF(Scenario_Select="Scenario 1",'CBA Inputs'!AF$321-'CBA Inputs'!AF326,0)+IF(Scenario_Select="Scenario 2",'CBA Inputs'!AF$336-'CBA Inputs'!AF341,0)+IF(Scenario_Select="Scenario 3",'CBA Inputs'!AF$351-'CBA Inputs'!AF356,0)+IF(Scenario_Select="Scenario 4",'CBA Inputs'!AF$366-'CBA Inputs'!AF371,0)),0)*AG$55</f>
        <v>0</v>
      </c>
      <c r="AH225" s="17">
        <f>IFERROR('Option inputs'!$F19*(IF(Scenario_Select="Scenario 1",'CBA Inputs'!AG$321-'CBA Inputs'!AG326,0)+IF(Scenario_Select="Scenario 2",'CBA Inputs'!AG$336-'CBA Inputs'!AG341,0)+IF(Scenario_Select="Scenario 3",'CBA Inputs'!AG$351-'CBA Inputs'!AG356,0)+IF(Scenario_Select="Scenario 4",'CBA Inputs'!AG$366-'CBA Inputs'!AG371,0)),0)*AH$55</f>
        <v>0</v>
      </c>
      <c r="AI225" s="17">
        <f>IFERROR('Option inputs'!$F19*(IF(Scenario_Select="Scenario 1",'CBA Inputs'!AH$321-'CBA Inputs'!AH326,0)+IF(Scenario_Select="Scenario 2",'CBA Inputs'!AH$336-'CBA Inputs'!AH341,0)+IF(Scenario_Select="Scenario 3",'CBA Inputs'!AH$351-'CBA Inputs'!AH356,0)+IF(Scenario_Select="Scenario 4",'CBA Inputs'!AH$366-'CBA Inputs'!AH371,0)),0)*AI$55</f>
        <v>0</v>
      </c>
      <c r="AJ225" s="17">
        <f>IFERROR('Option inputs'!$F19*(IF(Scenario_Select="Scenario 1",'CBA Inputs'!AI$321-'CBA Inputs'!AI326,0)+IF(Scenario_Select="Scenario 2",'CBA Inputs'!AI$336-'CBA Inputs'!AI341,0)+IF(Scenario_Select="Scenario 3",'CBA Inputs'!AI$351-'CBA Inputs'!AI356,0)+IF(Scenario_Select="Scenario 4",'CBA Inputs'!AI$366-'CBA Inputs'!AI371,0)),0)*AJ$55</f>
        <v>0</v>
      </c>
    </row>
    <row r="226" spans="2:36" x14ac:dyDescent="0.35">
      <c r="B226" s="9">
        <f>'Option inputs'!B20</f>
        <v>6</v>
      </c>
      <c r="C226" s="14" t="str">
        <f>+'Option inputs'!C20</f>
        <v>Option 2C</v>
      </c>
      <c r="D226" s="26"/>
      <c r="E226" s="12" t="s">
        <v>35</v>
      </c>
      <c r="F226" s="18">
        <f t="shared" si="51"/>
        <v>756624879.79735589</v>
      </c>
      <c r="G226" s="17">
        <f>IFERROR('Option inputs'!$F20*(IF(Scenario_Select="Scenario 1",'CBA Inputs'!F$321-'CBA Inputs'!F327,0)+IF(Scenario_Select="Scenario 2",'CBA Inputs'!F$336-'CBA Inputs'!F342,0)+IF(Scenario_Select="Scenario 3",'CBA Inputs'!F$351-'CBA Inputs'!F357,0)+IF(Scenario_Select="Scenario 4",'CBA Inputs'!F$366-'CBA Inputs'!F372,0)),0)*G$55</f>
        <v>0</v>
      </c>
      <c r="H226" s="17">
        <f>IFERROR('Option inputs'!$F20*(IF(Scenario_Select="Scenario 1",'CBA Inputs'!G$321-'CBA Inputs'!G327,0)+IF(Scenario_Select="Scenario 2",'CBA Inputs'!G$336-'CBA Inputs'!G342,0)+IF(Scenario_Select="Scenario 3",'CBA Inputs'!G$351-'CBA Inputs'!G357,0)+IF(Scenario_Select="Scenario 4",'CBA Inputs'!G$366-'CBA Inputs'!G372,0)),0)*H$55</f>
        <v>-3240</v>
      </c>
      <c r="I226" s="17">
        <f>IFERROR('Option inputs'!$F20*(IF(Scenario_Select="Scenario 1",'CBA Inputs'!H$321-'CBA Inputs'!H327,0)+IF(Scenario_Select="Scenario 2",'CBA Inputs'!H$336-'CBA Inputs'!H342,0)+IF(Scenario_Select="Scenario 3",'CBA Inputs'!H$351-'CBA Inputs'!H357,0)+IF(Scenario_Select="Scenario 4",'CBA Inputs'!H$366-'CBA Inputs'!H372,0)),0)*I$55</f>
        <v>-2149</v>
      </c>
      <c r="J226" s="17">
        <f>IFERROR('Option inputs'!$F20*(IF(Scenario_Select="Scenario 1",'CBA Inputs'!I$321-'CBA Inputs'!I327,0)+IF(Scenario_Select="Scenario 2",'CBA Inputs'!I$336-'CBA Inputs'!I342,0)+IF(Scenario_Select="Scenario 3",'CBA Inputs'!I$351-'CBA Inputs'!I357,0)+IF(Scenario_Select="Scenario 4",'CBA Inputs'!I$366-'CBA Inputs'!I372,0)),0)*J$55</f>
        <v>44</v>
      </c>
      <c r="K226" s="17">
        <f>IFERROR('Option inputs'!$F20*(IF(Scenario_Select="Scenario 1",'CBA Inputs'!J$321-'CBA Inputs'!J327,0)+IF(Scenario_Select="Scenario 2",'CBA Inputs'!J$336-'CBA Inputs'!J342,0)+IF(Scenario_Select="Scenario 3",'CBA Inputs'!J$351-'CBA Inputs'!J357,0)+IF(Scenario_Select="Scenario 4",'CBA Inputs'!J$366-'CBA Inputs'!J372,0)),0)*K$55</f>
        <v>771967365</v>
      </c>
      <c r="L226" s="17">
        <f>IFERROR('Option inputs'!$F20*(IF(Scenario_Select="Scenario 1",'CBA Inputs'!K$321-'CBA Inputs'!K327,0)+IF(Scenario_Select="Scenario 2",'CBA Inputs'!K$336-'CBA Inputs'!K342,0)+IF(Scenario_Select="Scenario 3",'CBA Inputs'!K$351-'CBA Inputs'!K357,0)+IF(Scenario_Select="Scenario 4",'CBA Inputs'!K$366-'CBA Inputs'!K372,0)),0)*L$55</f>
        <v>534647608</v>
      </c>
      <c r="M226" s="17">
        <f>IFERROR('Option inputs'!$F20*(IF(Scenario_Select="Scenario 1",'CBA Inputs'!L$321-'CBA Inputs'!L327,0)+IF(Scenario_Select="Scenario 2",'CBA Inputs'!L$336-'CBA Inputs'!L342,0)+IF(Scenario_Select="Scenario 3",'CBA Inputs'!L$351-'CBA Inputs'!L357,0)+IF(Scenario_Select="Scenario 4",'CBA Inputs'!L$366-'CBA Inputs'!L372,0)),0)*M$55</f>
        <v>28195364</v>
      </c>
      <c r="N226" s="17">
        <f>IFERROR('Option inputs'!$F20*(IF(Scenario_Select="Scenario 1",'CBA Inputs'!M$321-'CBA Inputs'!M327,0)+IF(Scenario_Select="Scenario 2",'CBA Inputs'!M$336-'CBA Inputs'!M342,0)+IF(Scenario_Select="Scenario 3",'CBA Inputs'!M$351-'CBA Inputs'!M357,0)+IF(Scenario_Select="Scenario 4",'CBA Inputs'!M$366-'CBA Inputs'!M372,0)),0)*N$55</f>
        <v>23438357</v>
      </c>
      <c r="O226" s="17">
        <f>IFERROR('Option inputs'!$F20*(IF(Scenario_Select="Scenario 1",'CBA Inputs'!N$321-'CBA Inputs'!N327,0)+IF(Scenario_Select="Scenario 2",'CBA Inputs'!N$336-'CBA Inputs'!N342,0)+IF(Scenario_Select="Scenario 3",'CBA Inputs'!N$351-'CBA Inputs'!N357,0)+IF(Scenario_Select="Scenario 4",'CBA Inputs'!N$366-'CBA Inputs'!N372,0)),0)*O$55</f>
        <v>-51702551</v>
      </c>
      <c r="P226" s="17">
        <f>IFERROR('Option inputs'!$F20*(IF(Scenario_Select="Scenario 1",'CBA Inputs'!O$321-'CBA Inputs'!O327,0)+IF(Scenario_Select="Scenario 2",'CBA Inputs'!O$336-'CBA Inputs'!O342,0)+IF(Scenario_Select="Scenario 3",'CBA Inputs'!O$351-'CBA Inputs'!O357,0)+IF(Scenario_Select="Scenario 4",'CBA Inputs'!O$366-'CBA Inputs'!O372,0)),0)*P$55</f>
        <v>303636657</v>
      </c>
      <c r="Q226" s="17">
        <f>IFERROR('Option inputs'!$F20*(IF(Scenario_Select="Scenario 1",'CBA Inputs'!P$321-'CBA Inputs'!P327,0)+IF(Scenario_Select="Scenario 2",'CBA Inputs'!P$336-'CBA Inputs'!P342,0)+IF(Scenario_Select="Scenario 3",'CBA Inputs'!P$351-'CBA Inputs'!P357,0)+IF(Scenario_Select="Scenario 4",'CBA Inputs'!P$366-'CBA Inputs'!P372,0)),0)*Q$55</f>
        <v>735187099</v>
      </c>
      <c r="R226" s="17">
        <f>IFERROR('Option inputs'!$F20*(IF(Scenario_Select="Scenario 1",'CBA Inputs'!Q$321-'CBA Inputs'!Q327,0)+IF(Scenario_Select="Scenario 2",'CBA Inputs'!Q$336-'CBA Inputs'!Q342,0)+IF(Scenario_Select="Scenario 3",'CBA Inputs'!Q$351-'CBA Inputs'!Q357,0)+IF(Scenario_Select="Scenario 4",'CBA Inputs'!Q$366-'CBA Inputs'!Q372,0)),0)*R$55</f>
        <v>-803005910</v>
      </c>
      <c r="S226" s="17">
        <f>IFERROR('Option inputs'!$F20*(IF(Scenario_Select="Scenario 1",'CBA Inputs'!R$321-'CBA Inputs'!R327,0)+IF(Scenario_Select="Scenario 2",'CBA Inputs'!R$336-'CBA Inputs'!R342,0)+IF(Scenario_Select="Scenario 3",'CBA Inputs'!R$351-'CBA Inputs'!R357,0)+IF(Scenario_Select="Scenario 4",'CBA Inputs'!R$366-'CBA Inputs'!R372,0)),0)*S$55</f>
        <v>830369824</v>
      </c>
      <c r="T226" s="17">
        <f>IFERROR('Option inputs'!$F20*(IF(Scenario_Select="Scenario 1",'CBA Inputs'!S$321-'CBA Inputs'!S327,0)+IF(Scenario_Select="Scenario 2",'CBA Inputs'!S$336-'CBA Inputs'!S342,0)+IF(Scenario_Select="Scenario 3",'CBA Inputs'!S$351-'CBA Inputs'!S357,0)+IF(Scenario_Select="Scenario 4",'CBA Inputs'!S$366-'CBA Inputs'!S372,0)),0)*T$55</f>
        <v>-199392524</v>
      </c>
      <c r="U226" s="17">
        <f>IFERROR('Option inputs'!$F20*(IF(Scenario_Select="Scenario 1",'CBA Inputs'!T$321-'CBA Inputs'!T327,0)+IF(Scenario_Select="Scenario 2",'CBA Inputs'!T$336-'CBA Inputs'!T342,0)+IF(Scenario_Select="Scenario 3",'CBA Inputs'!T$351-'CBA Inputs'!T357,0)+IF(Scenario_Select="Scenario 4",'CBA Inputs'!T$366-'CBA Inputs'!T372,0)),0)*U$55</f>
        <v>-130658225</v>
      </c>
      <c r="V226" s="17">
        <f>IFERROR('Option inputs'!$F20*(IF(Scenario_Select="Scenario 1",'CBA Inputs'!U$321-'CBA Inputs'!U327,0)+IF(Scenario_Select="Scenario 2",'CBA Inputs'!U$336-'CBA Inputs'!U342,0)+IF(Scenario_Select="Scenario 3",'CBA Inputs'!U$351-'CBA Inputs'!U357,0)+IF(Scenario_Select="Scenario 4",'CBA Inputs'!U$366-'CBA Inputs'!U372,0)),0)*V$55</f>
        <v>20760221</v>
      </c>
      <c r="W226" s="17">
        <f>IFERROR('Option inputs'!$F20*(IF(Scenario_Select="Scenario 1",'CBA Inputs'!V$321-'CBA Inputs'!V327,0)+IF(Scenario_Select="Scenario 2",'CBA Inputs'!V$336-'CBA Inputs'!V342,0)+IF(Scenario_Select="Scenario 3",'CBA Inputs'!V$351-'CBA Inputs'!V357,0)+IF(Scenario_Select="Scenario 4",'CBA Inputs'!V$366-'CBA Inputs'!V372,0)),0)*W$55</f>
        <v>-313808445</v>
      </c>
      <c r="X226" s="17">
        <f>IFERROR('Option inputs'!$F20*(IF(Scenario_Select="Scenario 1",'CBA Inputs'!W$321-'CBA Inputs'!W327,0)+IF(Scenario_Select="Scenario 2",'CBA Inputs'!W$336-'CBA Inputs'!W342,0)+IF(Scenario_Select="Scenario 3",'CBA Inputs'!W$351-'CBA Inputs'!W357,0)+IF(Scenario_Select="Scenario 4",'CBA Inputs'!W$366-'CBA Inputs'!W372,0)),0)*X$55</f>
        <v>41892199</v>
      </c>
      <c r="Y226" s="17">
        <f>IFERROR('Option inputs'!$F20*(IF(Scenario_Select="Scenario 1",'CBA Inputs'!X$321-'CBA Inputs'!X327,0)+IF(Scenario_Select="Scenario 2",'CBA Inputs'!X$336-'CBA Inputs'!X342,0)+IF(Scenario_Select="Scenario 3",'CBA Inputs'!X$351-'CBA Inputs'!X357,0)+IF(Scenario_Select="Scenario 4",'CBA Inputs'!X$366-'CBA Inputs'!X372,0)),0)*Y$55</f>
        <v>-1406987234</v>
      </c>
      <c r="Z226" s="17">
        <f>IFERROR('Option inputs'!$F20*(IF(Scenario_Select="Scenario 1",'CBA Inputs'!Y$321-'CBA Inputs'!Y327,0)+IF(Scenario_Select="Scenario 2",'CBA Inputs'!Y$336-'CBA Inputs'!Y342,0)+IF(Scenario_Select="Scenario 3",'CBA Inputs'!Y$351-'CBA Inputs'!Y357,0)+IF(Scenario_Select="Scenario 4",'CBA Inputs'!Y$366-'CBA Inputs'!Y372,0)),0)*Z$55</f>
        <v>-186155974</v>
      </c>
      <c r="AA226" s="17">
        <f>IFERROR('Option inputs'!$F20*(IF(Scenario_Select="Scenario 1",'CBA Inputs'!Z$321-'CBA Inputs'!Z327,0)+IF(Scenario_Select="Scenario 2",'CBA Inputs'!Z$336-'CBA Inputs'!Z342,0)+IF(Scenario_Select="Scenario 3",'CBA Inputs'!Z$351-'CBA Inputs'!Z357,0)+IF(Scenario_Select="Scenario 4",'CBA Inputs'!Z$366-'CBA Inputs'!Z372,0)),0)*AA$55</f>
        <v>-58355072</v>
      </c>
      <c r="AB226" s="17">
        <f>IFERROR('Option inputs'!$F20*(IF(Scenario_Select="Scenario 1",'CBA Inputs'!AA$321-'CBA Inputs'!AA327,0)+IF(Scenario_Select="Scenario 2",'CBA Inputs'!AA$336-'CBA Inputs'!AA342,0)+IF(Scenario_Select="Scenario 3",'CBA Inputs'!AA$351-'CBA Inputs'!AA357,0)+IF(Scenario_Select="Scenario 4",'CBA Inputs'!AA$366-'CBA Inputs'!AA372,0)),0)*AB$55</f>
        <v>56384830</v>
      </c>
      <c r="AC226" s="17">
        <f>IFERROR('Option inputs'!$F20*(IF(Scenario_Select="Scenario 1",'CBA Inputs'!AB$321-'CBA Inputs'!AB327,0)+IF(Scenario_Select="Scenario 2",'CBA Inputs'!AB$336-'CBA Inputs'!AB342,0)+IF(Scenario_Select="Scenario 3",'CBA Inputs'!AB$351-'CBA Inputs'!AB357,0)+IF(Scenario_Select="Scenario 4",'CBA Inputs'!AB$366-'CBA Inputs'!AB372,0)),0)*AC$55</f>
        <v>-2642239</v>
      </c>
      <c r="AD226" s="17">
        <f>IFERROR('Option inputs'!$F20*(IF(Scenario_Select="Scenario 1",'CBA Inputs'!AC$321-'CBA Inputs'!AC327,0)+IF(Scenario_Select="Scenario 2",'CBA Inputs'!AC$336-'CBA Inputs'!AC342,0)+IF(Scenario_Select="Scenario 3",'CBA Inputs'!AC$351-'CBA Inputs'!AC357,0)+IF(Scenario_Select="Scenario 4",'CBA Inputs'!AC$366-'CBA Inputs'!AC372,0)),0)*AD$55</f>
        <v>-211111662</v>
      </c>
      <c r="AE226" s="17">
        <f>IFERROR('Option inputs'!$F20*(IF(Scenario_Select="Scenario 1",'CBA Inputs'!AD$321-'CBA Inputs'!AD327,0)+IF(Scenario_Select="Scenario 2",'CBA Inputs'!AD$336-'CBA Inputs'!AD342,0)+IF(Scenario_Select="Scenario 3",'CBA Inputs'!AD$351-'CBA Inputs'!AD357,0)+IF(Scenario_Select="Scenario 4",'CBA Inputs'!AD$366-'CBA Inputs'!AD372,0)),0)*AE$55</f>
        <v>124814948</v>
      </c>
      <c r="AF226" s="17">
        <f>IFERROR('Option inputs'!$F20*(IF(Scenario_Select="Scenario 1",'CBA Inputs'!AE$321-'CBA Inputs'!AE327,0)+IF(Scenario_Select="Scenario 2",'CBA Inputs'!AE$336-'CBA Inputs'!AE342,0)+IF(Scenario_Select="Scenario 3",'CBA Inputs'!AE$351-'CBA Inputs'!AE357,0)+IF(Scenario_Select="Scenario 4",'CBA Inputs'!AE$366-'CBA Inputs'!AE372,0)),0)*AF$55</f>
        <v>-7652761</v>
      </c>
      <c r="AG226" s="17">
        <f>IFERROR('Option inputs'!$F20*(IF(Scenario_Select="Scenario 1",'CBA Inputs'!AF$321-'CBA Inputs'!AF327,0)+IF(Scenario_Select="Scenario 2",'CBA Inputs'!AF$336-'CBA Inputs'!AF342,0)+IF(Scenario_Select="Scenario 3",'CBA Inputs'!AF$351-'CBA Inputs'!AF357,0)+IF(Scenario_Select="Scenario 4",'CBA Inputs'!AF$366-'CBA Inputs'!AF372,0)),0)*AG$55</f>
        <v>0</v>
      </c>
      <c r="AH226" s="17">
        <f>IFERROR('Option inputs'!$F20*(IF(Scenario_Select="Scenario 1",'CBA Inputs'!AG$321-'CBA Inputs'!AG327,0)+IF(Scenario_Select="Scenario 2",'CBA Inputs'!AG$336-'CBA Inputs'!AG342,0)+IF(Scenario_Select="Scenario 3",'CBA Inputs'!AG$351-'CBA Inputs'!AG357,0)+IF(Scenario_Select="Scenario 4",'CBA Inputs'!AG$366-'CBA Inputs'!AG372,0)),0)*AH$55</f>
        <v>0</v>
      </c>
      <c r="AI226" s="17">
        <f>IFERROR('Option inputs'!$F20*(IF(Scenario_Select="Scenario 1",'CBA Inputs'!AH$321-'CBA Inputs'!AH327,0)+IF(Scenario_Select="Scenario 2",'CBA Inputs'!AH$336-'CBA Inputs'!AH342,0)+IF(Scenario_Select="Scenario 3",'CBA Inputs'!AH$351-'CBA Inputs'!AH357,0)+IF(Scenario_Select="Scenario 4",'CBA Inputs'!AH$366-'CBA Inputs'!AH372,0)),0)*AI$55</f>
        <v>0</v>
      </c>
      <c r="AJ226" s="17">
        <f>IFERROR('Option inputs'!$F20*(IF(Scenario_Select="Scenario 1",'CBA Inputs'!AI$321-'CBA Inputs'!AI327,0)+IF(Scenario_Select="Scenario 2",'CBA Inputs'!AI$336-'CBA Inputs'!AI342,0)+IF(Scenario_Select="Scenario 3",'CBA Inputs'!AI$351-'CBA Inputs'!AI357,0)+IF(Scenario_Select="Scenario 4",'CBA Inputs'!AI$366-'CBA Inputs'!AI372,0)),0)*AJ$55</f>
        <v>0</v>
      </c>
    </row>
    <row r="227" spans="2:36" x14ac:dyDescent="0.35">
      <c r="B227" s="9">
        <f>'Option inputs'!B21</f>
        <v>7</v>
      </c>
      <c r="C227" s="14" t="str">
        <f>+'Option inputs'!C21</f>
        <v>Option 3A</v>
      </c>
      <c r="D227" s="26"/>
      <c r="E227" s="12" t="s">
        <v>35</v>
      </c>
      <c r="F227" s="18">
        <f t="shared" si="51"/>
        <v>463571700.69803941</v>
      </c>
      <c r="G227" s="17">
        <f>IFERROR('Option inputs'!$F21*(IF(Scenario_Select="Scenario 1",'CBA Inputs'!F$321-'CBA Inputs'!F328,0)+IF(Scenario_Select="Scenario 2",'CBA Inputs'!F$336-'CBA Inputs'!F343,0)+IF(Scenario_Select="Scenario 3",'CBA Inputs'!F$351-'CBA Inputs'!F358,0)+IF(Scenario_Select="Scenario 4",'CBA Inputs'!F$366-'CBA Inputs'!F373,0)),0)*G$55</f>
        <v>0</v>
      </c>
      <c r="H227" s="17">
        <f>IFERROR('Option inputs'!$F21*(IF(Scenario_Select="Scenario 1",'CBA Inputs'!G$321-'CBA Inputs'!G328,0)+IF(Scenario_Select="Scenario 2",'CBA Inputs'!G$336-'CBA Inputs'!G343,0)+IF(Scenario_Select="Scenario 3",'CBA Inputs'!G$351-'CBA Inputs'!G358,0)+IF(Scenario_Select="Scenario 4",'CBA Inputs'!G$366-'CBA Inputs'!G373,0)),0)*H$55</f>
        <v>2363</v>
      </c>
      <c r="I227" s="17">
        <f>IFERROR('Option inputs'!$F21*(IF(Scenario_Select="Scenario 1",'CBA Inputs'!H$321-'CBA Inputs'!H328,0)+IF(Scenario_Select="Scenario 2",'CBA Inputs'!H$336-'CBA Inputs'!H343,0)+IF(Scenario_Select="Scenario 3",'CBA Inputs'!H$351-'CBA Inputs'!H358,0)+IF(Scenario_Select="Scenario 4",'CBA Inputs'!H$366-'CBA Inputs'!H373,0)),0)*I$55</f>
        <v>-852</v>
      </c>
      <c r="J227" s="17">
        <f>IFERROR('Option inputs'!$F21*(IF(Scenario_Select="Scenario 1",'CBA Inputs'!I$321-'CBA Inputs'!I328,0)+IF(Scenario_Select="Scenario 2",'CBA Inputs'!I$336-'CBA Inputs'!I343,0)+IF(Scenario_Select="Scenario 3",'CBA Inputs'!I$351-'CBA Inputs'!I358,0)+IF(Scenario_Select="Scenario 4",'CBA Inputs'!I$366-'CBA Inputs'!I373,0)),0)*J$55</f>
        <v>3116</v>
      </c>
      <c r="K227" s="17">
        <f>IFERROR('Option inputs'!$F21*(IF(Scenario_Select="Scenario 1",'CBA Inputs'!J$321-'CBA Inputs'!J328,0)+IF(Scenario_Select="Scenario 2",'CBA Inputs'!J$336-'CBA Inputs'!J343,0)+IF(Scenario_Select="Scenario 3",'CBA Inputs'!J$351-'CBA Inputs'!J358,0)+IF(Scenario_Select="Scenario 4",'CBA Inputs'!J$366-'CBA Inputs'!J373,0)),0)*K$55</f>
        <v>423972867</v>
      </c>
      <c r="L227" s="17">
        <f>IFERROR('Option inputs'!$F21*(IF(Scenario_Select="Scenario 1",'CBA Inputs'!K$321-'CBA Inputs'!K328,0)+IF(Scenario_Select="Scenario 2",'CBA Inputs'!K$336-'CBA Inputs'!K343,0)+IF(Scenario_Select="Scenario 3",'CBA Inputs'!K$351-'CBA Inputs'!K358,0)+IF(Scenario_Select="Scenario 4",'CBA Inputs'!K$366-'CBA Inputs'!K373,0)),0)*L$55</f>
        <v>536824392</v>
      </c>
      <c r="M227" s="17">
        <f>IFERROR('Option inputs'!$F21*(IF(Scenario_Select="Scenario 1",'CBA Inputs'!L$321-'CBA Inputs'!L328,0)+IF(Scenario_Select="Scenario 2",'CBA Inputs'!L$336-'CBA Inputs'!L343,0)+IF(Scenario_Select="Scenario 3",'CBA Inputs'!L$351-'CBA Inputs'!L358,0)+IF(Scenario_Select="Scenario 4",'CBA Inputs'!L$366-'CBA Inputs'!L373,0)),0)*M$55</f>
        <v>29912229</v>
      </c>
      <c r="N227" s="17">
        <f>IFERROR('Option inputs'!$F21*(IF(Scenario_Select="Scenario 1",'CBA Inputs'!M$321-'CBA Inputs'!M328,0)+IF(Scenario_Select="Scenario 2",'CBA Inputs'!M$336-'CBA Inputs'!M343,0)+IF(Scenario_Select="Scenario 3",'CBA Inputs'!M$351-'CBA Inputs'!M358,0)+IF(Scenario_Select="Scenario 4",'CBA Inputs'!M$366-'CBA Inputs'!M373,0)),0)*N$55</f>
        <v>19414419</v>
      </c>
      <c r="O227" s="17">
        <f>IFERROR('Option inputs'!$F21*(IF(Scenario_Select="Scenario 1",'CBA Inputs'!N$321-'CBA Inputs'!N328,0)+IF(Scenario_Select="Scenario 2",'CBA Inputs'!N$336-'CBA Inputs'!N343,0)+IF(Scenario_Select="Scenario 3",'CBA Inputs'!N$351-'CBA Inputs'!N358,0)+IF(Scenario_Select="Scenario 4",'CBA Inputs'!N$366-'CBA Inputs'!N373,0)),0)*O$55</f>
        <v>-51209794</v>
      </c>
      <c r="P227" s="17">
        <f>IFERROR('Option inputs'!$F21*(IF(Scenario_Select="Scenario 1",'CBA Inputs'!O$321-'CBA Inputs'!O328,0)+IF(Scenario_Select="Scenario 2",'CBA Inputs'!O$336-'CBA Inputs'!O343,0)+IF(Scenario_Select="Scenario 3",'CBA Inputs'!O$351-'CBA Inputs'!O358,0)+IF(Scenario_Select="Scenario 4",'CBA Inputs'!O$366-'CBA Inputs'!O373,0)),0)*P$55</f>
        <v>313303121</v>
      </c>
      <c r="Q227" s="17">
        <f>IFERROR('Option inputs'!$F21*(IF(Scenario_Select="Scenario 1",'CBA Inputs'!P$321-'CBA Inputs'!P328,0)+IF(Scenario_Select="Scenario 2",'CBA Inputs'!P$336-'CBA Inputs'!P343,0)+IF(Scenario_Select="Scenario 3",'CBA Inputs'!P$351-'CBA Inputs'!P358,0)+IF(Scenario_Select="Scenario 4",'CBA Inputs'!P$366-'CBA Inputs'!P373,0)),0)*Q$55</f>
        <v>241600649</v>
      </c>
      <c r="R227" s="17">
        <f>IFERROR('Option inputs'!$F21*(IF(Scenario_Select="Scenario 1",'CBA Inputs'!Q$321-'CBA Inputs'!Q328,0)+IF(Scenario_Select="Scenario 2",'CBA Inputs'!Q$336-'CBA Inputs'!Q343,0)+IF(Scenario_Select="Scenario 3",'CBA Inputs'!Q$351-'CBA Inputs'!Q358,0)+IF(Scenario_Select="Scenario 4",'CBA Inputs'!Q$366-'CBA Inputs'!Q373,0)),0)*R$55</f>
        <v>-263571525</v>
      </c>
      <c r="S227" s="17">
        <f>IFERROR('Option inputs'!$F21*(IF(Scenario_Select="Scenario 1",'CBA Inputs'!R$321-'CBA Inputs'!R328,0)+IF(Scenario_Select="Scenario 2",'CBA Inputs'!R$336-'CBA Inputs'!R343,0)+IF(Scenario_Select="Scenario 3",'CBA Inputs'!R$351-'CBA Inputs'!R358,0)+IF(Scenario_Select="Scenario 4",'CBA Inputs'!R$366-'CBA Inputs'!R373,0)),0)*S$55</f>
        <v>-123661648</v>
      </c>
      <c r="T227" s="17">
        <f>IFERROR('Option inputs'!$F21*(IF(Scenario_Select="Scenario 1",'CBA Inputs'!S$321-'CBA Inputs'!S328,0)+IF(Scenario_Select="Scenario 2",'CBA Inputs'!S$336-'CBA Inputs'!S343,0)+IF(Scenario_Select="Scenario 3",'CBA Inputs'!S$351-'CBA Inputs'!S358,0)+IF(Scenario_Select="Scenario 4",'CBA Inputs'!S$366-'CBA Inputs'!S373,0)),0)*T$55</f>
        <v>150894881</v>
      </c>
      <c r="U227" s="17">
        <f>IFERROR('Option inputs'!$F21*(IF(Scenario_Select="Scenario 1",'CBA Inputs'!T$321-'CBA Inputs'!T328,0)+IF(Scenario_Select="Scenario 2",'CBA Inputs'!T$336-'CBA Inputs'!T343,0)+IF(Scenario_Select="Scenario 3",'CBA Inputs'!T$351-'CBA Inputs'!T358,0)+IF(Scenario_Select="Scenario 4",'CBA Inputs'!T$366-'CBA Inputs'!T373,0)),0)*U$55</f>
        <v>-63881305</v>
      </c>
      <c r="V227" s="17">
        <f>IFERROR('Option inputs'!$F21*(IF(Scenario_Select="Scenario 1",'CBA Inputs'!U$321-'CBA Inputs'!U328,0)+IF(Scenario_Select="Scenario 2",'CBA Inputs'!U$336-'CBA Inputs'!U343,0)+IF(Scenario_Select="Scenario 3",'CBA Inputs'!U$351-'CBA Inputs'!U358,0)+IF(Scenario_Select="Scenario 4",'CBA Inputs'!U$366-'CBA Inputs'!U373,0)),0)*V$55</f>
        <v>-128171432</v>
      </c>
      <c r="W227" s="17">
        <f>IFERROR('Option inputs'!$F21*(IF(Scenario_Select="Scenario 1",'CBA Inputs'!V$321-'CBA Inputs'!V328,0)+IF(Scenario_Select="Scenario 2",'CBA Inputs'!V$336-'CBA Inputs'!V343,0)+IF(Scenario_Select="Scenario 3",'CBA Inputs'!V$351-'CBA Inputs'!V358,0)+IF(Scenario_Select="Scenario 4",'CBA Inputs'!V$366-'CBA Inputs'!V373,0)),0)*W$55</f>
        <v>149394248</v>
      </c>
      <c r="X227" s="17">
        <f>IFERROR('Option inputs'!$F21*(IF(Scenario_Select="Scenario 1",'CBA Inputs'!W$321-'CBA Inputs'!W328,0)+IF(Scenario_Select="Scenario 2",'CBA Inputs'!W$336-'CBA Inputs'!W343,0)+IF(Scenario_Select="Scenario 3",'CBA Inputs'!W$351-'CBA Inputs'!W358,0)+IF(Scenario_Select="Scenario 4",'CBA Inputs'!W$366-'CBA Inputs'!W373,0)),0)*X$55</f>
        <v>37025542</v>
      </c>
      <c r="Y227" s="17">
        <f>IFERROR('Option inputs'!$F21*(IF(Scenario_Select="Scenario 1",'CBA Inputs'!X$321-'CBA Inputs'!X328,0)+IF(Scenario_Select="Scenario 2",'CBA Inputs'!X$336-'CBA Inputs'!X343,0)+IF(Scenario_Select="Scenario 3",'CBA Inputs'!X$351-'CBA Inputs'!X358,0)+IF(Scenario_Select="Scenario 4",'CBA Inputs'!X$366-'CBA Inputs'!X373,0)),0)*Y$55</f>
        <v>-1184210504</v>
      </c>
      <c r="Z227" s="17">
        <f>IFERROR('Option inputs'!$F21*(IF(Scenario_Select="Scenario 1",'CBA Inputs'!Y$321-'CBA Inputs'!Y328,0)+IF(Scenario_Select="Scenario 2",'CBA Inputs'!Y$336-'CBA Inputs'!Y343,0)+IF(Scenario_Select="Scenario 3",'CBA Inputs'!Y$351-'CBA Inputs'!Y358,0)+IF(Scenario_Select="Scenario 4",'CBA Inputs'!Y$366-'CBA Inputs'!Y373,0)),0)*Z$55</f>
        <v>-100321580</v>
      </c>
      <c r="AA227" s="17">
        <f>IFERROR('Option inputs'!$F21*(IF(Scenario_Select="Scenario 1",'CBA Inputs'!Z$321-'CBA Inputs'!Z328,0)+IF(Scenario_Select="Scenario 2",'CBA Inputs'!Z$336-'CBA Inputs'!Z343,0)+IF(Scenario_Select="Scenario 3",'CBA Inputs'!Z$351-'CBA Inputs'!Z358,0)+IF(Scenario_Select="Scenario 4",'CBA Inputs'!Z$366-'CBA Inputs'!Z373,0)),0)*AA$55</f>
        <v>10469951</v>
      </c>
      <c r="AB227" s="17">
        <f>IFERROR('Option inputs'!$F21*(IF(Scenario_Select="Scenario 1",'CBA Inputs'!AA$321-'CBA Inputs'!AA328,0)+IF(Scenario_Select="Scenario 2",'CBA Inputs'!AA$336-'CBA Inputs'!AA343,0)+IF(Scenario_Select="Scenario 3",'CBA Inputs'!AA$351-'CBA Inputs'!AA358,0)+IF(Scenario_Select="Scenario 4",'CBA Inputs'!AA$366-'CBA Inputs'!AA373,0)),0)*AB$55</f>
        <v>43178416</v>
      </c>
      <c r="AC227" s="17">
        <f>IFERROR('Option inputs'!$F21*(IF(Scenario_Select="Scenario 1",'CBA Inputs'!AB$321-'CBA Inputs'!AB328,0)+IF(Scenario_Select="Scenario 2",'CBA Inputs'!AB$336-'CBA Inputs'!AB343,0)+IF(Scenario_Select="Scenario 3",'CBA Inputs'!AB$351-'CBA Inputs'!AB358,0)+IF(Scenario_Select="Scenario 4",'CBA Inputs'!AB$366-'CBA Inputs'!AB373,0)),0)*AC$55</f>
        <v>29511176</v>
      </c>
      <c r="AD227" s="17">
        <f>IFERROR('Option inputs'!$F21*(IF(Scenario_Select="Scenario 1",'CBA Inputs'!AC$321-'CBA Inputs'!AC328,0)+IF(Scenario_Select="Scenario 2",'CBA Inputs'!AC$336-'CBA Inputs'!AC343,0)+IF(Scenario_Select="Scenario 3",'CBA Inputs'!AC$351-'CBA Inputs'!AC358,0)+IF(Scenario_Select="Scenario 4",'CBA Inputs'!AC$366-'CBA Inputs'!AC373,0)),0)*AD$55</f>
        <v>-195498862</v>
      </c>
      <c r="AE227" s="17">
        <f>IFERROR('Option inputs'!$F21*(IF(Scenario_Select="Scenario 1",'CBA Inputs'!AD$321-'CBA Inputs'!AD328,0)+IF(Scenario_Select="Scenario 2",'CBA Inputs'!AD$336-'CBA Inputs'!AD343,0)+IF(Scenario_Select="Scenario 3",'CBA Inputs'!AD$351-'CBA Inputs'!AD358,0)+IF(Scenario_Select="Scenario 4",'CBA Inputs'!AD$366-'CBA Inputs'!AD373,0)),0)*AE$55</f>
        <v>103239340</v>
      </c>
      <c r="AF227" s="17">
        <f>IFERROR('Option inputs'!$F21*(IF(Scenario_Select="Scenario 1",'CBA Inputs'!AE$321-'CBA Inputs'!AE328,0)+IF(Scenario_Select="Scenario 2",'CBA Inputs'!AE$336-'CBA Inputs'!AE343,0)+IF(Scenario_Select="Scenario 3",'CBA Inputs'!AE$351-'CBA Inputs'!AE358,0)+IF(Scenario_Select="Scenario 4",'CBA Inputs'!AE$366-'CBA Inputs'!AE373,0)),0)*AF$55</f>
        <v>-17857208</v>
      </c>
      <c r="AG227" s="17">
        <f>IFERROR('Option inputs'!$F21*(IF(Scenario_Select="Scenario 1",'CBA Inputs'!AF$321-'CBA Inputs'!AF328,0)+IF(Scenario_Select="Scenario 2",'CBA Inputs'!AF$336-'CBA Inputs'!AF343,0)+IF(Scenario_Select="Scenario 3",'CBA Inputs'!AF$351-'CBA Inputs'!AF358,0)+IF(Scenario_Select="Scenario 4",'CBA Inputs'!AF$366-'CBA Inputs'!AF373,0)),0)*AG$55</f>
        <v>0</v>
      </c>
      <c r="AH227" s="17">
        <f>IFERROR('Option inputs'!$F21*(IF(Scenario_Select="Scenario 1",'CBA Inputs'!AG$321-'CBA Inputs'!AG328,0)+IF(Scenario_Select="Scenario 2",'CBA Inputs'!AG$336-'CBA Inputs'!AG343,0)+IF(Scenario_Select="Scenario 3",'CBA Inputs'!AG$351-'CBA Inputs'!AG358,0)+IF(Scenario_Select="Scenario 4",'CBA Inputs'!AG$366-'CBA Inputs'!AG373,0)),0)*AH$55</f>
        <v>0</v>
      </c>
      <c r="AI227" s="17">
        <f>IFERROR('Option inputs'!$F21*(IF(Scenario_Select="Scenario 1",'CBA Inputs'!AH$321-'CBA Inputs'!AH328,0)+IF(Scenario_Select="Scenario 2",'CBA Inputs'!AH$336-'CBA Inputs'!AH343,0)+IF(Scenario_Select="Scenario 3",'CBA Inputs'!AH$351-'CBA Inputs'!AH358,0)+IF(Scenario_Select="Scenario 4",'CBA Inputs'!AH$366-'CBA Inputs'!AH373,0)),0)*AI$55</f>
        <v>0</v>
      </c>
      <c r="AJ227" s="17">
        <f>IFERROR('Option inputs'!$F21*(IF(Scenario_Select="Scenario 1",'CBA Inputs'!AI$321-'CBA Inputs'!AI328,0)+IF(Scenario_Select="Scenario 2",'CBA Inputs'!AI$336-'CBA Inputs'!AI343,0)+IF(Scenario_Select="Scenario 3",'CBA Inputs'!AI$351-'CBA Inputs'!AI358,0)+IF(Scenario_Select="Scenario 4",'CBA Inputs'!AI$366-'CBA Inputs'!AI373,0)),0)*AJ$55</f>
        <v>0</v>
      </c>
    </row>
    <row r="228" spans="2:36" x14ac:dyDescent="0.35">
      <c r="B228" s="9">
        <f>'Option inputs'!B22</f>
        <v>8</v>
      </c>
      <c r="C228" s="14" t="str">
        <f>+'Option inputs'!C22</f>
        <v>Option 3B</v>
      </c>
      <c r="D228" s="26"/>
      <c r="E228" s="12" t="s">
        <v>35</v>
      </c>
      <c r="F228" s="18">
        <f t="shared" si="51"/>
        <v>644661386.89358783</v>
      </c>
      <c r="G228" s="17">
        <f>IFERROR('Option inputs'!$F22*(IF(Scenario_Select="Scenario 1",'CBA Inputs'!F$321-'CBA Inputs'!F329,0)+IF(Scenario_Select="Scenario 2",'CBA Inputs'!F$336-'CBA Inputs'!F344,0)+IF(Scenario_Select="Scenario 3",'CBA Inputs'!F$351-'CBA Inputs'!F359,0)+IF(Scenario_Select="Scenario 4",'CBA Inputs'!F$366-'CBA Inputs'!F374,0)),0)*G$55</f>
        <v>0</v>
      </c>
      <c r="H228" s="17">
        <f>IFERROR('Option inputs'!$F22*(IF(Scenario_Select="Scenario 1",'CBA Inputs'!G$321-'CBA Inputs'!G329,0)+IF(Scenario_Select="Scenario 2",'CBA Inputs'!G$336-'CBA Inputs'!G344,0)+IF(Scenario_Select="Scenario 3",'CBA Inputs'!G$351-'CBA Inputs'!G359,0)+IF(Scenario_Select="Scenario 4",'CBA Inputs'!G$366-'CBA Inputs'!G374,0)),0)*H$55</f>
        <v>16361</v>
      </c>
      <c r="I228" s="17">
        <f>IFERROR('Option inputs'!$F22*(IF(Scenario_Select="Scenario 1",'CBA Inputs'!H$321-'CBA Inputs'!H329,0)+IF(Scenario_Select="Scenario 2",'CBA Inputs'!H$336-'CBA Inputs'!H344,0)+IF(Scenario_Select="Scenario 3",'CBA Inputs'!H$351-'CBA Inputs'!H359,0)+IF(Scenario_Select="Scenario 4",'CBA Inputs'!H$366-'CBA Inputs'!H374,0)),0)*I$55</f>
        <v>2697</v>
      </c>
      <c r="J228" s="17">
        <f>IFERROR('Option inputs'!$F22*(IF(Scenario_Select="Scenario 1",'CBA Inputs'!I$321-'CBA Inputs'!I329,0)+IF(Scenario_Select="Scenario 2",'CBA Inputs'!I$336-'CBA Inputs'!I344,0)+IF(Scenario_Select="Scenario 3",'CBA Inputs'!I$351-'CBA Inputs'!I359,0)+IF(Scenario_Select="Scenario 4",'CBA Inputs'!I$366-'CBA Inputs'!I374,0)),0)*J$55</f>
        <v>4667</v>
      </c>
      <c r="K228" s="17">
        <f>IFERROR('Option inputs'!$F22*(IF(Scenario_Select="Scenario 1",'CBA Inputs'!J$321-'CBA Inputs'!J329,0)+IF(Scenario_Select="Scenario 2",'CBA Inputs'!J$336-'CBA Inputs'!J344,0)+IF(Scenario_Select="Scenario 3",'CBA Inputs'!J$351-'CBA Inputs'!J359,0)+IF(Scenario_Select="Scenario 4",'CBA Inputs'!J$366-'CBA Inputs'!J374,0)),0)*K$55</f>
        <v>433255122</v>
      </c>
      <c r="L228" s="17">
        <f>IFERROR('Option inputs'!$F22*(IF(Scenario_Select="Scenario 1",'CBA Inputs'!K$321-'CBA Inputs'!K329,0)+IF(Scenario_Select="Scenario 2",'CBA Inputs'!K$336-'CBA Inputs'!K344,0)+IF(Scenario_Select="Scenario 3",'CBA Inputs'!K$351-'CBA Inputs'!K359,0)+IF(Scenario_Select="Scenario 4",'CBA Inputs'!K$366-'CBA Inputs'!K374,0)),0)*L$55</f>
        <v>537475458</v>
      </c>
      <c r="M228" s="17">
        <f>IFERROR('Option inputs'!$F22*(IF(Scenario_Select="Scenario 1",'CBA Inputs'!L$321-'CBA Inputs'!L329,0)+IF(Scenario_Select="Scenario 2",'CBA Inputs'!L$336-'CBA Inputs'!L344,0)+IF(Scenario_Select="Scenario 3",'CBA Inputs'!L$351-'CBA Inputs'!L359,0)+IF(Scenario_Select="Scenario 4",'CBA Inputs'!L$366-'CBA Inputs'!L374,0)),0)*M$55</f>
        <v>30457531</v>
      </c>
      <c r="N228" s="17">
        <f>IFERROR('Option inputs'!$F22*(IF(Scenario_Select="Scenario 1",'CBA Inputs'!M$321-'CBA Inputs'!M329,0)+IF(Scenario_Select="Scenario 2",'CBA Inputs'!M$336-'CBA Inputs'!M344,0)+IF(Scenario_Select="Scenario 3",'CBA Inputs'!M$351-'CBA Inputs'!M359,0)+IF(Scenario_Select="Scenario 4",'CBA Inputs'!M$366-'CBA Inputs'!M374,0)),0)*N$55</f>
        <v>20021857</v>
      </c>
      <c r="O228" s="17">
        <f>IFERROR('Option inputs'!$F22*(IF(Scenario_Select="Scenario 1",'CBA Inputs'!N$321-'CBA Inputs'!N329,0)+IF(Scenario_Select="Scenario 2",'CBA Inputs'!N$336-'CBA Inputs'!N344,0)+IF(Scenario_Select="Scenario 3",'CBA Inputs'!N$351-'CBA Inputs'!N359,0)+IF(Scenario_Select="Scenario 4",'CBA Inputs'!N$366-'CBA Inputs'!N374,0)),0)*O$55</f>
        <v>-53390996</v>
      </c>
      <c r="P228" s="17">
        <f>IFERROR('Option inputs'!$F22*(IF(Scenario_Select="Scenario 1",'CBA Inputs'!O$321-'CBA Inputs'!O329,0)+IF(Scenario_Select="Scenario 2",'CBA Inputs'!O$336-'CBA Inputs'!O344,0)+IF(Scenario_Select="Scenario 3",'CBA Inputs'!O$351-'CBA Inputs'!O359,0)+IF(Scenario_Select="Scenario 4",'CBA Inputs'!O$366-'CBA Inputs'!O374,0)),0)*P$55</f>
        <v>313450066</v>
      </c>
      <c r="Q228" s="17">
        <f>IFERROR('Option inputs'!$F22*(IF(Scenario_Select="Scenario 1",'CBA Inputs'!P$321-'CBA Inputs'!P329,0)+IF(Scenario_Select="Scenario 2",'CBA Inputs'!P$336-'CBA Inputs'!P344,0)+IF(Scenario_Select="Scenario 3",'CBA Inputs'!P$351-'CBA Inputs'!P359,0)+IF(Scenario_Select="Scenario 4",'CBA Inputs'!P$366-'CBA Inputs'!P374,0)),0)*Q$55</f>
        <v>981008228</v>
      </c>
      <c r="R228" s="17">
        <f>IFERROR('Option inputs'!$F22*(IF(Scenario_Select="Scenario 1",'CBA Inputs'!Q$321-'CBA Inputs'!Q329,0)+IF(Scenario_Select="Scenario 2",'CBA Inputs'!Q$336-'CBA Inputs'!Q344,0)+IF(Scenario_Select="Scenario 3",'CBA Inputs'!Q$351-'CBA Inputs'!Q359,0)+IF(Scenario_Select="Scenario 4",'CBA Inputs'!Q$366-'CBA Inputs'!Q374,0)),0)*R$55</f>
        <v>-759618609</v>
      </c>
      <c r="S228" s="17">
        <f>IFERROR('Option inputs'!$F22*(IF(Scenario_Select="Scenario 1",'CBA Inputs'!R$321-'CBA Inputs'!R329,0)+IF(Scenario_Select="Scenario 2",'CBA Inputs'!R$336-'CBA Inputs'!R344,0)+IF(Scenario_Select="Scenario 3",'CBA Inputs'!R$351-'CBA Inputs'!R359,0)+IF(Scenario_Select="Scenario 4",'CBA Inputs'!R$366-'CBA Inputs'!R374,0)),0)*S$55</f>
        <v>773996495</v>
      </c>
      <c r="T228" s="17">
        <f>IFERROR('Option inputs'!$F22*(IF(Scenario_Select="Scenario 1",'CBA Inputs'!S$321-'CBA Inputs'!S329,0)+IF(Scenario_Select="Scenario 2",'CBA Inputs'!S$336-'CBA Inputs'!S344,0)+IF(Scenario_Select="Scenario 3",'CBA Inputs'!S$351-'CBA Inputs'!S359,0)+IF(Scenario_Select="Scenario 4",'CBA Inputs'!S$366-'CBA Inputs'!S374,0)),0)*T$55</f>
        <v>-148039163</v>
      </c>
      <c r="U228" s="17">
        <f>IFERROR('Option inputs'!$F22*(IF(Scenario_Select="Scenario 1",'CBA Inputs'!T$321-'CBA Inputs'!T329,0)+IF(Scenario_Select="Scenario 2",'CBA Inputs'!T$336-'CBA Inputs'!T344,0)+IF(Scenario_Select="Scenario 3",'CBA Inputs'!T$351-'CBA Inputs'!T359,0)+IF(Scenario_Select="Scenario 4",'CBA Inputs'!T$366-'CBA Inputs'!T374,0)),0)*U$55</f>
        <v>-155382674</v>
      </c>
      <c r="V228" s="17">
        <f>IFERROR('Option inputs'!$F22*(IF(Scenario_Select="Scenario 1",'CBA Inputs'!U$321-'CBA Inputs'!U329,0)+IF(Scenario_Select="Scenario 2",'CBA Inputs'!U$336-'CBA Inputs'!U344,0)+IF(Scenario_Select="Scenario 3",'CBA Inputs'!U$351-'CBA Inputs'!U359,0)+IF(Scenario_Select="Scenario 4",'CBA Inputs'!U$366-'CBA Inputs'!U374,0)),0)*V$55</f>
        <v>-2947064</v>
      </c>
      <c r="W228" s="17">
        <f>IFERROR('Option inputs'!$F22*(IF(Scenario_Select="Scenario 1",'CBA Inputs'!V$321-'CBA Inputs'!V329,0)+IF(Scenario_Select="Scenario 2",'CBA Inputs'!V$336-'CBA Inputs'!V344,0)+IF(Scenario_Select="Scenario 3",'CBA Inputs'!V$351-'CBA Inputs'!V359,0)+IF(Scenario_Select="Scenario 4",'CBA Inputs'!V$366-'CBA Inputs'!V374,0)),0)*W$55</f>
        <v>-256542651</v>
      </c>
      <c r="X228" s="17">
        <f>IFERROR('Option inputs'!$F22*(IF(Scenario_Select="Scenario 1",'CBA Inputs'!W$321-'CBA Inputs'!W329,0)+IF(Scenario_Select="Scenario 2",'CBA Inputs'!W$336-'CBA Inputs'!W344,0)+IF(Scenario_Select="Scenario 3",'CBA Inputs'!W$351-'CBA Inputs'!W359,0)+IF(Scenario_Select="Scenario 4",'CBA Inputs'!W$366-'CBA Inputs'!W374,0)),0)*X$55</f>
        <v>21666115</v>
      </c>
      <c r="Y228" s="17">
        <f>IFERROR('Option inputs'!$F22*(IF(Scenario_Select="Scenario 1",'CBA Inputs'!X$321-'CBA Inputs'!X329,0)+IF(Scenario_Select="Scenario 2",'CBA Inputs'!X$336-'CBA Inputs'!X344,0)+IF(Scenario_Select="Scenario 3",'CBA Inputs'!X$351-'CBA Inputs'!X359,0)+IF(Scenario_Select="Scenario 4",'CBA Inputs'!X$366-'CBA Inputs'!X374,0)),0)*Y$55</f>
        <v>-1417794652</v>
      </c>
      <c r="Z228" s="17">
        <f>IFERROR('Option inputs'!$F22*(IF(Scenario_Select="Scenario 1",'CBA Inputs'!Y$321-'CBA Inputs'!Y329,0)+IF(Scenario_Select="Scenario 2",'CBA Inputs'!Y$336-'CBA Inputs'!Y344,0)+IF(Scenario_Select="Scenario 3",'CBA Inputs'!Y$351-'CBA Inputs'!Y359,0)+IF(Scenario_Select="Scenario 4",'CBA Inputs'!Y$366-'CBA Inputs'!Y374,0)),0)*Z$55</f>
        <v>-177719654</v>
      </c>
      <c r="AA228" s="17">
        <f>IFERROR('Option inputs'!$F22*(IF(Scenario_Select="Scenario 1",'CBA Inputs'!Z$321-'CBA Inputs'!Z329,0)+IF(Scenario_Select="Scenario 2",'CBA Inputs'!Z$336-'CBA Inputs'!Z344,0)+IF(Scenario_Select="Scenario 3",'CBA Inputs'!Z$351-'CBA Inputs'!Z359,0)+IF(Scenario_Select="Scenario 4",'CBA Inputs'!Z$366-'CBA Inputs'!Z374,0)),0)*AA$55</f>
        <v>-63541126</v>
      </c>
      <c r="AB228" s="17">
        <f>IFERROR('Option inputs'!$F22*(IF(Scenario_Select="Scenario 1",'CBA Inputs'!AA$321-'CBA Inputs'!AA329,0)+IF(Scenario_Select="Scenario 2",'CBA Inputs'!AA$336-'CBA Inputs'!AA344,0)+IF(Scenario_Select="Scenario 3",'CBA Inputs'!AA$351-'CBA Inputs'!AA359,0)+IF(Scenario_Select="Scenario 4",'CBA Inputs'!AA$366-'CBA Inputs'!AA374,0)),0)*AB$55</f>
        <v>56109482</v>
      </c>
      <c r="AC228" s="17">
        <f>IFERROR('Option inputs'!$F22*(IF(Scenario_Select="Scenario 1",'CBA Inputs'!AB$321-'CBA Inputs'!AB329,0)+IF(Scenario_Select="Scenario 2",'CBA Inputs'!AB$336-'CBA Inputs'!AB344,0)+IF(Scenario_Select="Scenario 3",'CBA Inputs'!AB$351-'CBA Inputs'!AB359,0)+IF(Scenario_Select="Scenario 4",'CBA Inputs'!AB$366-'CBA Inputs'!AB374,0)),0)*AC$55</f>
        <v>7736306</v>
      </c>
      <c r="AD228" s="17">
        <f>IFERROR('Option inputs'!$F22*(IF(Scenario_Select="Scenario 1",'CBA Inputs'!AC$321-'CBA Inputs'!AC329,0)+IF(Scenario_Select="Scenario 2",'CBA Inputs'!AC$336-'CBA Inputs'!AC344,0)+IF(Scenario_Select="Scenario 3",'CBA Inputs'!AC$351-'CBA Inputs'!AC359,0)+IF(Scenario_Select="Scenario 4",'CBA Inputs'!AC$366-'CBA Inputs'!AC374,0)),0)*AD$55</f>
        <v>-209473542</v>
      </c>
      <c r="AE228" s="17">
        <f>IFERROR('Option inputs'!$F22*(IF(Scenario_Select="Scenario 1",'CBA Inputs'!AD$321-'CBA Inputs'!AD329,0)+IF(Scenario_Select="Scenario 2",'CBA Inputs'!AD$336-'CBA Inputs'!AD344,0)+IF(Scenario_Select="Scenario 3",'CBA Inputs'!AD$351-'CBA Inputs'!AD359,0)+IF(Scenario_Select="Scenario 4",'CBA Inputs'!AD$366-'CBA Inputs'!AD374,0)),0)*AE$55</f>
        <v>121602668</v>
      </c>
      <c r="AF228" s="17">
        <f>IFERROR('Option inputs'!$F22*(IF(Scenario_Select="Scenario 1",'CBA Inputs'!AE$321-'CBA Inputs'!AE329,0)+IF(Scenario_Select="Scenario 2",'CBA Inputs'!AE$336-'CBA Inputs'!AE344,0)+IF(Scenario_Select="Scenario 3",'CBA Inputs'!AE$351-'CBA Inputs'!AE359,0)+IF(Scenario_Select="Scenario 4",'CBA Inputs'!AE$366-'CBA Inputs'!AE374,0)),0)*AF$55</f>
        <v>-10070723</v>
      </c>
      <c r="AG228" s="17">
        <f>IFERROR('Option inputs'!$F22*(IF(Scenario_Select="Scenario 1",'CBA Inputs'!AF$321-'CBA Inputs'!AF329,0)+IF(Scenario_Select="Scenario 2",'CBA Inputs'!AF$336-'CBA Inputs'!AF344,0)+IF(Scenario_Select="Scenario 3",'CBA Inputs'!AF$351-'CBA Inputs'!AF359,0)+IF(Scenario_Select="Scenario 4",'CBA Inputs'!AF$366-'CBA Inputs'!AF374,0)),0)*AG$55</f>
        <v>0</v>
      </c>
      <c r="AH228" s="17">
        <f>IFERROR('Option inputs'!$F22*(IF(Scenario_Select="Scenario 1",'CBA Inputs'!AG$321-'CBA Inputs'!AG329,0)+IF(Scenario_Select="Scenario 2",'CBA Inputs'!AG$336-'CBA Inputs'!AG344,0)+IF(Scenario_Select="Scenario 3",'CBA Inputs'!AG$351-'CBA Inputs'!AG359,0)+IF(Scenario_Select="Scenario 4",'CBA Inputs'!AG$366-'CBA Inputs'!AG374,0)),0)*AH$55</f>
        <v>0</v>
      </c>
      <c r="AI228" s="17">
        <f>IFERROR('Option inputs'!$F22*(IF(Scenario_Select="Scenario 1",'CBA Inputs'!AH$321-'CBA Inputs'!AH329,0)+IF(Scenario_Select="Scenario 2",'CBA Inputs'!AH$336-'CBA Inputs'!AH344,0)+IF(Scenario_Select="Scenario 3",'CBA Inputs'!AH$351-'CBA Inputs'!AH359,0)+IF(Scenario_Select="Scenario 4",'CBA Inputs'!AH$366-'CBA Inputs'!AH374,0)),0)*AI$55</f>
        <v>0</v>
      </c>
      <c r="AJ228" s="17">
        <f>IFERROR('Option inputs'!$F22*(IF(Scenario_Select="Scenario 1",'CBA Inputs'!AI$321-'CBA Inputs'!AI329,0)+IF(Scenario_Select="Scenario 2",'CBA Inputs'!AI$336-'CBA Inputs'!AI344,0)+IF(Scenario_Select="Scenario 3",'CBA Inputs'!AI$351-'CBA Inputs'!AI359,0)+IF(Scenario_Select="Scenario 4",'CBA Inputs'!AI$366-'CBA Inputs'!AI374,0)),0)*AJ$55</f>
        <v>0</v>
      </c>
    </row>
    <row r="229" spans="2:36" x14ac:dyDescent="0.35">
      <c r="B229" s="9">
        <f>'Option inputs'!B23</f>
        <v>9</v>
      </c>
      <c r="C229" s="14" t="str">
        <f>+'Option inputs'!C23</f>
        <v>Option 3C</v>
      </c>
      <c r="D229" s="26"/>
      <c r="E229" s="12" t="s">
        <v>35</v>
      </c>
      <c r="F229" s="18">
        <f t="shared" si="51"/>
        <v>762650642.83294559</v>
      </c>
      <c r="G229" s="17">
        <f>IFERROR('Option inputs'!$F23*(IF(Scenario_Select="Scenario 1",'CBA Inputs'!F$321-'CBA Inputs'!F330,0)+IF(Scenario_Select="Scenario 2",'CBA Inputs'!F$336-'CBA Inputs'!F345,0)+IF(Scenario_Select="Scenario 3",'CBA Inputs'!F$351-'CBA Inputs'!F360,0)+IF(Scenario_Select="Scenario 4",'CBA Inputs'!F$366-'CBA Inputs'!F375,0)),0)*G$55</f>
        <v>0</v>
      </c>
      <c r="H229" s="17">
        <f>IFERROR('Option inputs'!$F23*(IF(Scenario_Select="Scenario 1",'CBA Inputs'!G$321-'CBA Inputs'!G330,0)+IF(Scenario_Select="Scenario 2",'CBA Inputs'!G$336-'CBA Inputs'!G345,0)+IF(Scenario_Select="Scenario 3",'CBA Inputs'!G$351-'CBA Inputs'!G360,0)+IF(Scenario_Select="Scenario 4",'CBA Inputs'!G$366-'CBA Inputs'!G375,0)),0)*H$55</f>
        <v>-29518</v>
      </c>
      <c r="I229" s="17">
        <f>IFERROR('Option inputs'!$F23*(IF(Scenario_Select="Scenario 1",'CBA Inputs'!H$321-'CBA Inputs'!H330,0)+IF(Scenario_Select="Scenario 2",'CBA Inputs'!H$336-'CBA Inputs'!H345,0)+IF(Scenario_Select="Scenario 3",'CBA Inputs'!H$351-'CBA Inputs'!H360,0)+IF(Scenario_Select="Scenario 4",'CBA Inputs'!H$366-'CBA Inputs'!H375,0)),0)*I$55</f>
        <v>-4998</v>
      </c>
      <c r="J229" s="17">
        <f>IFERROR('Option inputs'!$F23*(IF(Scenario_Select="Scenario 1",'CBA Inputs'!I$321-'CBA Inputs'!I330,0)+IF(Scenario_Select="Scenario 2",'CBA Inputs'!I$336-'CBA Inputs'!I345,0)+IF(Scenario_Select="Scenario 3",'CBA Inputs'!I$351-'CBA Inputs'!I360,0)+IF(Scenario_Select="Scenario 4",'CBA Inputs'!I$366-'CBA Inputs'!I375,0)),0)*J$55</f>
        <v>-13980</v>
      </c>
      <c r="K229" s="17">
        <f>IFERROR('Option inputs'!$F23*(IF(Scenario_Select="Scenario 1",'CBA Inputs'!J$321-'CBA Inputs'!J330,0)+IF(Scenario_Select="Scenario 2",'CBA Inputs'!J$336-'CBA Inputs'!J345,0)+IF(Scenario_Select="Scenario 3",'CBA Inputs'!J$351-'CBA Inputs'!J360,0)+IF(Scenario_Select="Scenario 4",'CBA Inputs'!J$366-'CBA Inputs'!J375,0)),0)*K$55</f>
        <v>751576846</v>
      </c>
      <c r="L229" s="17">
        <f>IFERROR('Option inputs'!$F23*(IF(Scenario_Select="Scenario 1",'CBA Inputs'!K$321-'CBA Inputs'!K330,0)+IF(Scenario_Select="Scenario 2",'CBA Inputs'!K$336-'CBA Inputs'!K345,0)+IF(Scenario_Select="Scenario 3",'CBA Inputs'!K$351-'CBA Inputs'!K360,0)+IF(Scenario_Select="Scenario 4",'CBA Inputs'!K$366-'CBA Inputs'!K375,0)),0)*L$55</f>
        <v>534963650</v>
      </c>
      <c r="M229" s="17">
        <f>IFERROR('Option inputs'!$F23*(IF(Scenario_Select="Scenario 1",'CBA Inputs'!L$321-'CBA Inputs'!L330,0)+IF(Scenario_Select="Scenario 2",'CBA Inputs'!L$336-'CBA Inputs'!L345,0)+IF(Scenario_Select="Scenario 3",'CBA Inputs'!L$351-'CBA Inputs'!L360,0)+IF(Scenario_Select="Scenario 4",'CBA Inputs'!L$366-'CBA Inputs'!L375,0)),0)*M$55</f>
        <v>28374041</v>
      </c>
      <c r="N229" s="17">
        <f>IFERROR('Option inputs'!$F23*(IF(Scenario_Select="Scenario 1",'CBA Inputs'!M$321-'CBA Inputs'!M330,0)+IF(Scenario_Select="Scenario 2",'CBA Inputs'!M$336-'CBA Inputs'!M345,0)+IF(Scenario_Select="Scenario 3",'CBA Inputs'!M$351-'CBA Inputs'!M360,0)+IF(Scenario_Select="Scenario 4",'CBA Inputs'!M$366-'CBA Inputs'!M375,0)),0)*N$55</f>
        <v>24038932</v>
      </c>
      <c r="O229" s="17">
        <f>IFERROR('Option inputs'!$F23*(IF(Scenario_Select="Scenario 1",'CBA Inputs'!N$321-'CBA Inputs'!N330,0)+IF(Scenario_Select="Scenario 2",'CBA Inputs'!N$336-'CBA Inputs'!N345,0)+IF(Scenario_Select="Scenario 3",'CBA Inputs'!N$351-'CBA Inputs'!N360,0)+IF(Scenario_Select="Scenario 4",'CBA Inputs'!N$366-'CBA Inputs'!N375,0)),0)*O$55</f>
        <v>-51088077</v>
      </c>
      <c r="P229" s="17">
        <f>IFERROR('Option inputs'!$F23*(IF(Scenario_Select="Scenario 1",'CBA Inputs'!O$321-'CBA Inputs'!O330,0)+IF(Scenario_Select="Scenario 2",'CBA Inputs'!O$336-'CBA Inputs'!O345,0)+IF(Scenario_Select="Scenario 3",'CBA Inputs'!O$351-'CBA Inputs'!O360,0)+IF(Scenario_Select="Scenario 4",'CBA Inputs'!O$366-'CBA Inputs'!O375,0)),0)*P$55</f>
        <v>302945816</v>
      </c>
      <c r="Q229" s="17">
        <f>IFERROR('Option inputs'!$F23*(IF(Scenario_Select="Scenario 1",'CBA Inputs'!P$321-'CBA Inputs'!P330,0)+IF(Scenario_Select="Scenario 2",'CBA Inputs'!P$336-'CBA Inputs'!P345,0)+IF(Scenario_Select="Scenario 3",'CBA Inputs'!P$351-'CBA Inputs'!P360,0)+IF(Scenario_Select="Scenario 4",'CBA Inputs'!P$366-'CBA Inputs'!P375,0)),0)*Q$55</f>
        <v>751097875</v>
      </c>
      <c r="R229" s="17">
        <f>IFERROR('Option inputs'!$F23*(IF(Scenario_Select="Scenario 1",'CBA Inputs'!Q$321-'CBA Inputs'!Q330,0)+IF(Scenario_Select="Scenario 2",'CBA Inputs'!Q$336-'CBA Inputs'!Q345,0)+IF(Scenario_Select="Scenario 3",'CBA Inputs'!Q$351-'CBA Inputs'!Q360,0)+IF(Scenario_Select="Scenario 4",'CBA Inputs'!Q$366-'CBA Inputs'!Q375,0)),0)*R$55</f>
        <v>-759364563</v>
      </c>
      <c r="S229" s="17">
        <f>IFERROR('Option inputs'!$F23*(IF(Scenario_Select="Scenario 1",'CBA Inputs'!R$321-'CBA Inputs'!R330,0)+IF(Scenario_Select="Scenario 2",'CBA Inputs'!R$336-'CBA Inputs'!R345,0)+IF(Scenario_Select="Scenario 3",'CBA Inputs'!R$351-'CBA Inputs'!R360,0)+IF(Scenario_Select="Scenario 4",'CBA Inputs'!R$366-'CBA Inputs'!R375,0)),0)*S$55</f>
        <v>774009045</v>
      </c>
      <c r="T229" s="17">
        <f>IFERROR('Option inputs'!$F23*(IF(Scenario_Select="Scenario 1",'CBA Inputs'!S$321-'CBA Inputs'!S330,0)+IF(Scenario_Select="Scenario 2",'CBA Inputs'!S$336-'CBA Inputs'!S345,0)+IF(Scenario_Select="Scenario 3",'CBA Inputs'!S$351-'CBA Inputs'!S360,0)+IF(Scenario_Select="Scenario 4",'CBA Inputs'!S$366-'CBA Inputs'!S375,0)),0)*T$55</f>
        <v>-147824951</v>
      </c>
      <c r="U229" s="17">
        <f>IFERROR('Option inputs'!$F23*(IF(Scenario_Select="Scenario 1",'CBA Inputs'!T$321-'CBA Inputs'!T330,0)+IF(Scenario_Select="Scenario 2",'CBA Inputs'!T$336-'CBA Inputs'!T345,0)+IF(Scenario_Select="Scenario 3",'CBA Inputs'!T$351-'CBA Inputs'!T360,0)+IF(Scenario_Select="Scenario 4",'CBA Inputs'!T$366-'CBA Inputs'!T375,0)),0)*U$55</f>
        <v>-155569834</v>
      </c>
      <c r="V229" s="17">
        <f>IFERROR('Option inputs'!$F23*(IF(Scenario_Select="Scenario 1",'CBA Inputs'!U$321-'CBA Inputs'!U330,0)+IF(Scenario_Select="Scenario 2",'CBA Inputs'!U$336-'CBA Inputs'!U345,0)+IF(Scenario_Select="Scenario 3",'CBA Inputs'!U$351-'CBA Inputs'!U360,0)+IF(Scenario_Select="Scenario 4",'CBA Inputs'!U$366-'CBA Inputs'!U375,0)),0)*V$55</f>
        <v>-3336381</v>
      </c>
      <c r="W229" s="17">
        <f>IFERROR('Option inputs'!$F23*(IF(Scenario_Select="Scenario 1",'CBA Inputs'!V$321-'CBA Inputs'!V330,0)+IF(Scenario_Select="Scenario 2",'CBA Inputs'!V$336-'CBA Inputs'!V345,0)+IF(Scenario_Select="Scenario 3",'CBA Inputs'!V$351-'CBA Inputs'!V360,0)+IF(Scenario_Select="Scenario 4",'CBA Inputs'!V$366-'CBA Inputs'!V375,0)),0)*W$55</f>
        <v>-256641642</v>
      </c>
      <c r="X229" s="17">
        <f>IFERROR('Option inputs'!$F23*(IF(Scenario_Select="Scenario 1",'CBA Inputs'!W$321-'CBA Inputs'!W330,0)+IF(Scenario_Select="Scenario 2",'CBA Inputs'!W$336-'CBA Inputs'!W345,0)+IF(Scenario_Select="Scenario 3",'CBA Inputs'!W$351-'CBA Inputs'!W360,0)+IF(Scenario_Select="Scenario 4",'CBA Inputs'!W$366-'CBA Inputs'!W375,0)),0)*X$55</f>
        <v>21891084</v>
      </c>
      <c r="Y229" s="17">
        <f>IFERROR('Option inputs'!$F23*(IF(Scenario_Select="Scenario 1",'CBA Inputs'!X$321-'CBA Inputs'!X330,0)+IF(Scenario_Select="Scenario 2",'CBA Inputs'!X$336-'CBA Inputs'!X345,0)+IF(Scenario_Select="Scenario 3",'CBA Inputs'!X$351-'CBA Inputs'!X360,0)+IF(Scenario_Select="Scenario 4",'CBA Inputs'!X$366-'CBA Inputs'!X375,0)),0)*Y$55</f>
        <v>-1417869872</v>
      </c>
      <c r="Z229" s="17">
        <f>IFERROR('Option inputs'!$F23*(IF(Scenario_Select="Scenario 1",'CBA Inputs'!Y$321-'CBA Inputs'!Y330,0)+IF(Scenario_Select="Scenario 2",'CBA Inputs'!Y$336-'CBA Inputs'!Y345,0)+IF(Scenario_Select="Scenario 3",'CBA Inputs'!Y$351-'CBA Inputs'!Y360,0)+IF(Scenario_Select="Scenario 4",'CBA Inputs'!Y$366-'CBA Inputs'!Y375,0)),0)*Z$55</f>
        <v>-177594211</v>
      </c>
      <c r="AA229" s="17">
        <f>IFERROR('Option inputs'!$F23*(IF(Scenario_Select="Scenario 1",'CBA Inputs'!Z$321-'CBA Inputs'!Z330,0)+IF(Scenario_Select="Scenario 2",'CBA Inputs'!Z$336-'CBA Inputs'!Z345,0)+IF(Scenario_Select="Scenario 3",'CBA Inputs'!Z$351-'CBA Inputs'!Z360,0)+IF(Scenario_Select="Scenario 4",'CBA Inputs'!Z$366-'CBA Inputs'!Z375,0)),0)*AA$55</f>
        <v>-63576196</v>
      </c>
      <c r="AB229" s="17">
        <f>IFERROR('Option inputs'!$F23*(IF(Scenario_Select="Scenario 1",'CBA Inputs'!AA$321-'CBA Inputs'!AA330,0)+IF(Scenario_Select="Scenario 2",'CBA Inputs'!AA$336-'CBA Inputs'!AA345,0)+IF(Scenario_Select="Scenario 3",'CBA Inputs'!AA$351-'CBA Inputs'!AA360,0)+IF(Scenario_Select="Scenario 4",'CBA Inputs'!AA$366-'CBA Inputs'!AA375,0)),0)*AB$55</f>
        <v>56106448</v>
      </c>
      <c r="AC229" s="17">
        <f>IFERROR('Option inputs'!$F23*(IF(Scenario_Select="Scenario 1",'CBA Inputs'!AB$321-'CBA Inputs'!AB330,0)+IF(Scenario_Select="Scenario 2",'CBA Inputs'!AB$336-'CBA Inputs'!AB345,0)+IF(Scenario_Select="Scenario 3",'CBA Inputs'!AB$351-'CBA Inputs'!AB360,0)+IF(Scenario_Select="Scenario 4",'CBA Inputs'!AB$366-'CBA Inputs'!AB375,0)),0)*AC$55</f>
        <v>7747031</v>
      </c>
      <c r="AD229" s="17">
        <f>IFERROR('Option inputs'!$F23*(IF(Scenario_Select="Scenario 1",'CBA Inputs'!AC$321-'CBA Inputs'!AC330,0)+IF(Scenario_Select="Scenario 2",'CBA Inputs'!AC$336-'CBA Inputs'!AC345,0)+IF(Scenario_Select="Scenario 3",'CBA Inputs'!AC$351-'CBA Inputs'!AC360,0)+IF(Scenario_Select="Scenario 4",'CBA Inputs'!AC$366-'CBA Inputs'!AC375,0)),0)*AD$55</f>
        <v>-209437303</v>
      </c>
      <c r="AE229" s="17">
        <f>IFERROR('Option inputs'!$F23*(IF(Scenario_Select="Scenario 1",'CBA Inputs'!AD$321-'CBA Inputs'!AD330,0)+IF(Scenario_Select="Scenario 2",'CBA Inputs'!AD$336-'CBA Inputs'!AD345,0)+IF(Scenario_Select="Scenario 3",'CBA Inputs'!AD$351-'CBA Inputs'!AD360,0)+IF(Scenario_Select="Scenario 4",'CBA Inputs'!AD$366-'CBA Inputs'!AD375,0)),0)*AE$55</f>
        <v>121588246</v>
      </c>
      <c r="AF229" s="17">
        <f>IFERROR('Option inputs'!$F23*(IF(Scenario_Select="Scenario 1",'CBA Inputs'!AE$321-'CBA Inputs'!AE330,0)+IF(Scenario_Select="Scenario 2",'CBA Inputs'!AE$336-'CBA Inputs'!AE345,0)+IF(Scenario_Select="Scenario 3",'CBA Inputs'!AE$351-'CBA Inputs'!AE360,0)+IF(Scenario_Select="Scenario 4",'CBA Inputs'!AE$366-'CBA Inputs'!AE375,0)),0)*AF$55</f>
        <v>-10091763</v>
      </c>
      <c r="AG229" s="17">
        <f>IFERROR('Option inputs'!$F23*(IF(Scenario_Select="Scenario 1",'CBA Inputs'!AF$321-'CBA Inputs'!AF330,0)+IF(Scenario_Select="Scenario 2",'CBA Inputs'!AF$336-'CBA Inputs'!AF345,0)+IF(Scenario_Select="Scenario 3",'CBA Inputs'!AF$351-'CBA Inputs'!AF360,0)+IF(Scenario_Select="Scenario 4",'CBA Inputs'!AF$366-'CBA Inputs'!AF375,0)),0)*AG$55</f>
        <v>0</v>
      </c>
      <c r="AH229" s="17">
        <f>IFERROR('Option inputs'!$F23*(IF(Scenario_Select="Scenario 1",'CBA Inputs'!AG$321-'CBA Inputs'!AG330,0)+IF(Scenario_Select="Scenario 2",'CBA Inputs'!AG$336-'CBA Inputs'!AG345,0)+IF(Scenario_Select="Scenario 3",'CBA Inputs'!AG$351-'CBA Inputs'!AG360,0)+IF(Scenario_Select="Scenario 4",'CBA Inputs'!AG$366-'CBA Inputs'!AG375,0)),0)*AH$55</f>
        <v>0</v>
      </c>
      <c r="AI229" s="17">
        <f>IFERROR('Option inputs'!$F23*(IF(Scenario_Select="Scenario 1",'CBA Inputs'!AH$321-'CBA Inputs'!AH330,0)+IF(Scenario_Select="Scenario 2",'CBA Inputs'!AH$336-'CBA Inputs'!AH345,0)+IF(Scenario_Select="Scenario 3",'CBA Inputs'!AH$351-'CBA Inputs'!AH360,0)+IF(Scenario_Select="Scenario 4",'CBA Inputs'!AH$366-'CBA Inputs'!AH375,0)),0)*AI$55</f>
        <v>0</v>
      </c>
      <c r="AJ229" s="17">
        <f>IFERROR('Option inputs'!$F23*(IF(Scenario_Select="Scenario 1",'CBA Inputs'!AI$321-'CBA Inputs'!AI330,0)+IF(Scenario_Select="Scenario 2",'CBA Inputs'!AI$336-'CBA Inputs'!AI345,0)+IF(Scenario_Select="Scenario 3",'CBA Inputs'!AI$351-'CBA Inputs'!AI360,0)+IF(Scenario_Select="Scenario 4",'CBA Inputs'!AI$366-'CBA Inputs'!AI375,0)),0)*AJ$55</f>
        <v>0</v>
      </c>
    </row>
    <row r="230" spans="2:36" x14ac:dyDescent="0.35">
      <c r="B230" s="9">
        <f>'Option inputs'!B24</f>
        <v>10</v>
      </c>
      <c r="C230" s="14" t="str">
        <f>+'Option inputs'!C24</f>
        <v>Option 4A</v>
      </c>
      <c r="D230" s="26"/>
      <c r="E230" s="12" t="s">
        <v>35</v>
      </c>
      <c r="F230" s="18">
        <f t="shared" si="51"/>
        <v>471298898.23521096</v>
      </c>
      <c r="G230" s="17">
        <f>IFERROR('Option inputs'!$F24*(IF(Scenario_Select="Scenario 1",'CBA Inputs'!F$321-'CBA Inputs'!F331,0)+IF(Scenario_Select="Scenario 2",'CBA Inputs'!F$336-'CBA Inputs'!F346,0)+IF(Scenario_Select="Scenario 3",'CBA Inputs'!F$351-'CBA Inputs'!F361,0)+IF(Scenario_Select="Scenario 4",'CBA Inputs'!F$366-'CBA Inputs'!F376,0)),0)*G$55</f>
        <v>0</v>
      </c>
      <c r="H230" s="17">
        <f>IFERROR('Option inputs'!$F24*(IF(Scenario_Select="Scenario 1",'CBA Inputs'!G$321-'CBA Inputs'!G331,0)+IF(Scenario_Select="Scenario 2",'CBA Inputs'!G$336-'CBA Inputs'!G346,0)+IF(Scenario_Select="Scenario 3",'CBA Inputs'!G$351-'CBA Inputs'!G361,0)+IF(Scenario_Select="Scenario 4",'CBA Inputs'!G$366-'CBA Inputs'!G376,0)),0)*H$55</f>
        <v>2812</v>
      </c>
      <c r="I230" s="17">
        <f>IFERROR('Option inputs'!$F24*(IF(Scenario_Select="Scenario 1",'CBA Inputs'!H$321-'CBA Inputs'!H331,0)+IF(Scenario_Select="Scenario 2",'CBA Inputs'!H$336-'CBA Inputs'!H346,0)+IF(Scenario_Select="Scenario 3",'CBA Inputs'!H$351-'CBA Inputs'!H361,0)+IF(Scenario_Select="Scenario 4",'CBA Inputs'!H$366-'CBA Inputs'!H376,0)),0)*I$55</f>
        <v>-29</v>
      </c>
      <c r="J230" s="17">
        <f>IFERROR('Option inputs'!$F24*(IF(Scenario_Select="Scenario 1",'CBA Inputs'!I$321-'CBA Inputs'!I331,0)+IF(Scenario_Select="Scenario 2",'CBA Inputs'!I$336-'CBA Inputs'!I346,0)+IF(Scenario_Select="Scenario 3",'CBA Inputs'!I$351-'CBA Inputs'!I361,0)+IF(Scenario_Select="Scenario 4",'CBA Inputs'!I$366-'CBA Inputs'!I376,0)),0)*J$55</f>
        <v>1251</v>
      </c>
      <c r="K230" s="17">
        <f>IFERROR('Option inputs'!$F24*(IF(Scenario_Select="Scenario 1",'CBA Inputs'!J$321-'CBA Inputs'!J331,0)+IF(Scenario_Select="Scenario 2",'CBA Inputs'!J$336-'CBA Inputs'!J346,0)+IF(Scenario_Select="Scenario 3",'CBA Inputs'!J$351-'CBA Inputs'!J361,0)+IF(Scenario_Select="Scenario 4",'CBA Inputs'!J$366-'CBA Inputs'!J376,0)),0)*K$55</f>
        <v>423975181</v>
      </c>
      <c r="L230" s="17">
        <f>IFERROR('Option inputs'!$F24*(IF(Scenario_Select="Scenario 1",'CBA Inputs'!K$321-'CBA Inputs'!K331,0)+IF(Scenario_Select="Scenario 2",'CBA Inputs'!K$336-'CBA Inputs'!K346,0)+IF(Scenario_Select="Scenario 3",'CBA Inputs'!K$351-'CBA Inputs'!K361,0)+IF(Scenario_Select="Scenario 4",'CBA Inputs'!K$366-'CBA Inputs'!K376,0)),0)*L$55</f>
        <v>536829019</v>
      </c>
      <c r="M230" s="17">
        <f>IFERROR('Option inputs'!$F24*(IF(Scenario_Select="Scenario 1",'CBA Inputs'!L$321-'CBA Inputs'!L331,0)+IF(Scenario_Select="Scenario 2",'CBA Inputs'!L$336-'CBA Inputs'!L346,0)+IF(Scenario_Select="Scenario 3",'CBA Inputs'!L$351-'CBA Inputs'!L361,0)+IF(Scenario_Select="Scenario 4",'CBA Inputs'!L$366-'CBA Inputs'!L376,0)),0)*M$55</f>
        <v>30319825</v>
      </c>
      <c r="N230" s="17">
        <f>IFERROR('Option inputs'!$F24*(IF(Scenario_Select="Scenario 1",'CBA Inputs'!M$321-'CBA Inputs'!M331,0)+IF(Scenario_Select="Scenario 2",'CBA Inputs'!M$336-'CBA Inputs'!M346,0)+IF(Scenario_Select="Scenario 3",'CBA Inputs'!M$351-'CBA Inputs'!M361,0)+IF(Scenario_Select="Scenario 4",'CBA Inputs'!M$366-'CBA Inputs'!M376,0)),0)*N$55</f>
        <v>19789862</v>
      </c>
      <c r="O230" s="17">
        <f>IFERROR('Option inputs'!$F24*(IF(Scenario_Select="Scenario 1",'CBA Inputs'!N$321-'CBA Inputs'!N331,0)+IF(Scenario_Select="Scenario 2",'CBA Inputs'!N$336-'CBA Inputs'!N346,0)+IF(Scenario_Select="Scenario 3",'CBA Inputs'!N$351-'CBA Inputs'!N361,0)+IF(Scenario_Select="Scenario 4",'CBA Inputs'!N$366-'CBA Inputs'!N376,0)),0)*O$55</f>
        <v>-51311673</v>
      </c>
      <c r="P230" s="17">
        <f>IFERROR('Option inputs'!$F24*(IF(Scenario_Select="Scenario 1",'CBA Inputs'!O$321-'CBA Inputs'!O331,0)+IF(Scenario_Select="Scenario 2",'CBA Inputs'!O$336-'CBA Inputs'!O346,0)+IF(Scenario_Select="Scenario 3",'CBA Inputs'!O$351-'CBA Inputs'!O361,0)+IF(Scenario_Select="Scenario 4",'CBA Inputs'!O$366-'CBA Inputs'!O376,0)),0)*P$55</f>
        <v>313415454</v>
      </c>
      <c r="Q230" s="17">
        <f>IFERROR('Option inputs'!$F24*(IF(Scenario_Select="Scenario 1",'CBA Inputs'!P$321-'CBA Inputs'!P331,0)+IF(Scenario_Select="Scenario 2",'CBA Inputs'!P$336-'CBA Inputs'!P346,0)+IF(Scenario_Select="Scenario 3",'CBA Inputs'!P$351-'CBA Inputs'!P361,0)+IF(Scenario_Select="Scenario 4",'CBA Inputs'!P$366-'CBA Inputs'!P376,0)),0)*Q$55</f>
        <v>350335226</v>
      </c>
      <c r="R230" s="17">
        <f>IFERROR('Option inputs'!$F24*(IF(Scenario_Select="Scenario 1",'CBA Inputs'!Q$321-'CBA Inputs'!Q331,0)+IF(Scenario_Select="Scenario 2",'CBA Inputs'!Q$336-'CBA Inputs'!Q346,0)+IF(Scenario_Select="Scenario 3",'CBA Inputs'!Q$351-'CBA Inputs'!Q361,0)+IF(Scenario_Select="Scenario 4",'CBA Inputs'!Q$366-'CBA Inputs'!Q376,0)),0)*R$55</f>
        <v>-368791810</v>
      </c>
      <c r="S230" s="17">
        <f>IFERROR('Option inputs'!$F24*(IF(Scenario_Select="Scenario 1",'CBA Inputs'!R$321-'CBA Inputs'!R331,0)+IF(Scenario_Select="Scenario 2",'CBA Inputs'!R$336-'CBA Inputs'!R346,0)+IF(Scenario_Select="Scenario 3",'CBA Inputs'!R$351-'CBA Inputs'!R361,0)+IF(Scenario_Select="Scenario 4",'CBA Inputs'!R$366-'CBA Inputs'!R376,0)),0)*S$55</f>
        <v>-46485523</v>
      </c>
      <c r="T230" s="17">
        <f>IFERROR('Option inputs'!$F24*(IF(Scenario_Select="Scenario 1",'CBA Inputs'!S$321-'CBA Inputs'!S331,0)+IF(Scenario_Select="Scenario 2",'CBA Inputs'!S$336-'CBA Inputs'!S346,0)+IF(Scenario_Select="Scenario 3",'CBA Inputs'!S$351-'CBA Inputs'!S361,0)+IF(Scenario_Select="Scenario 4",'CBA Inputs'!S$366-'CBA Inputs'!S376,0)),0)*T$55</f>
        <v>175877219</v>
      </c>
      <c r="U230" s="17">
        <f>IFERROR('Option inputs'!$F24*(IF(Scenario_Select="Scenario 1",'CBA Inputs'!T$321-'CBA Inputs'!T331,0)+IF(Scenario_Select="Scenario 2",'CBA Inputs'!T$336-'CBA Inputs'!T346,0)+IF(Scenario_Select="Scenario 3",'CBA Inputs'!T$351-'CBA Inputs'!T361,0)+IF(Scenario_Select="Scenario 4",'CBA Inputs'!T$366-'CBA Inputs'!T376,0)),0)*U$55</f>
        <v>-56563186</v>
      </c>
      <c r="V230" s="17">
        <f>IFERROR('Option inputs'!$F24*(IF(Scenario_Select="Scenario 1",'CBA Inputs'!U$321-'CBA Inputs'!U331,0)+IF(Scenario_Select="Scenario 2",'CBA Inputs'!U$336-'CBA Inputs'!U346,0)+IF(Scenario_Select="Scenario 3",'CBA Inputs'!U$351-'CBA Inputs'!U361,0)+IF(Scenario_Select="Scenario 4",'CBA Inputs'!U$366-'CBA Inputs'!U376,0)),0)*V$55</f>
        <v>-183242029</v>
      </c>
      <c r="W230" s="17">
        <f>IFERROR('Option inputs'!$F24*(IF(Scenario_Select="Scenario 1",'CBA Inputs'!V$321-'CBA Inputs'!V331,0)+IF(Scenario_Select="Scenario 2",'CBA Inputs'!V$336-'CBA Inputs'!V346,0)+IF(Scenario_Select="Scenario 3",'CBA Inputs'!V$351-'CBA Inputs'!V361,0)+IF(Scenario_Select="Scenario 4",'CBA Inputs'!V$366-'CBA Inputs'!V376,0)),0)*W$55</f>
        <v>201070614</v>
      </c>
      <c r="X230" s="17">
        <f>IFERROR('Option inputs'!$F24*(IF(Scenario_Select="Scenario 1",'CBA Inputs'!W$321-'CBA Inputs'!W331,0)+IF(Scenario_Select="Scenario 2",'CBA Inputs'!W$336-'CBA Inputs'!W346,0)+IF(Scenario_Select="Scenario 3",'CBA Inputs'!W$351-'CBA Inputs'!W361,0)+IF(Scenario_Select="Scenario 4",'CBA Inputs'!W$366-'CBA Inputs'!W376,0)),0)*X$55</f>
        <v>30526580</v>
      </c>
      <c r="Y230" s="17">
        <f>IFERROR('Option inputs'!$F24*(IF(Scenario_Select="Scenario 1",'CBA Inputs'!X$321-'CBA Inputs'!X331,0)+IF(Scenario_Select="Scenario 2",'CBA Inputs'!X$336-'CBA Inputs'!X346,0)+IF(Scenario_Select="Scenario 3",'CBA Inputs'!X$351-'CBA Inputs'!X361,0)+IF(Scenario_Select="Scenario 4",'CBA Inputs'!X$366-'CBA Inputs'!X376,0)),0)*Y$55</f>
        <v>-1326806854</v>
      </c>
      <c r="Z230" s="17">
        <f>IFERROR('Option inputs'!$F24*(IF(Scenario_Select="Scenario 1",'CBA Inputs'!Y$321-'CBA Inputs'!Y331,0)+IF(Scenario_Select="Scenario 2",'CBA Inputs'!Y$336-'CBA Inputs'!Y346,0)+IF(Scenario_Select="Scenario 3",'CBA Inputs'!Y$351-'CBA Inputs'!Y361,0)+IF(Scenario_Select="Scenario 4",'CBA Inputs'!Y$366-'CBA Inputs'!Y376,0)),0)*Z$55</f>
        <v>-130137911</v>
      </c>
      <c r="AA230" s="17">
        <f>IFERROR('Option inputs'!$F24*(IF(Scenario_Select="Scenario 1",'CBA Inputs'!Z$321-'CBA Inputs'!Z331,0)+IF(Scenario_Select="Scenario 2",'CBA Inputs'!Z$336-'CBA Inputs'!Z346,0)+IF(Scenario_Select="Scenario 3",'CBA Inputs'!Z$351-'CBA Inputs'!Z361,0)+IF(Scenario_Select="Scenario 4",'CBA Inputs'!Z$366-'CBA Inputs'!Z376,0)),0)*AA$55</f>
        <v>40582350</v>
      </c>
      <c r="AB230" s="17">
        <f>IFERROR('Option inputs'!$F24*(IF(Scenario_Select="Scenario 1",'CBA Inputs'!AA$321-'CBA Inputs'!AA331,0)+IF(Scenario_Select="Scenario 2",'CBA Inputs'!AA$336-'CBA Inputs'!AA346,0)+IF(Scenario_Select="Scenario 3",'CBA Inputs'!AA$351-'CBA Inputs'!AA361,0)+IF(Scenario_Select="Scenario 4",'CBA Inputs'!AA$366-'CBA Inputs'!AA376,0)),0)*AB$55</f>
        <v>46744146</v>
      </c>
      <c r="AC230" s="17">
        <f>IFERROR('Option inputs'!$F24*(IF(Scenario_Select="Scenario 1",'CBA Inputs'!AB$321-'CBA Inputs'!AB331,0)+IF(Scenario_Select="Scenario 2",'CBA Inputs'!AB$336-'CBA Inputs'!AB346,0)+IF(Scenario_Select="Scenario 3",'CBA Inputs'!AB$351-'CBA Inputs'!AB361,0)+IF(Scenario_Select="Scenario 4",'CBA Inputs'!AB$366-'CBA Inputs'!AB376,0)),0)*AC$55</f>
        <v>26666715</v>
      </c>
      <c r="AD230" s="17">
        <f>IFERROR('Option inputs'!$F24*(IF(Scenario_Select="Scenario 1",'CBA Inputs'!AC$321-'CBA Inputs'!AC331,0)+IF(Scenario_Select="Scenario 2",'CBA Inputs'!AC$336-'CBA Inputs'!AC346,0)+IF(Scenario_Select="Scenario 3",'CBA Inputs'!AC$351-'CBA Inputs'!AC361,0)+IF(Scenario_Select="Scenario 4",'CBA Inputs'!AC$366-'CBA Inputs'!AC376,0)),0)*AD$55</f>
        <v>-193742802</v>
      </c>
      <c r="AE230" s="17">
        <f>IFERROR('Option inputs'!$F24*(IF(Scenario_Select="Scenario 1",'CBA Inputs'!AD$321-'CBA Inputs'!AD331,0)+IF(Scenario_Select="Scenario 2",'CBA Inputs'!AD$336-'CBA Inputs'!AD346,0)+IF(Scenario_Select="Scenario 3",'CBA Inputs'!AD$351-'CBA Inputs'!AD361,0)+IF(Scenario_Select="Scenario 4",'CBA Inputs'!AD$366-'CBA Inputs'!AD376,0)),0)*AE$55</f>
        <v>111008600</v>
      </c>
      <c r="AF230" s="17">
        <f>IFERROR('Option inputs'!$F24*(IF(Scenario_Select="Scenario 1",'CBA Inputs'!AE$321-'CBA Inputs'!AE331,0)+IF(Scenario_Select="Scenario 2",'CBA Inputs'!AE$336-'CBA Inputs'!AE346,0)+IF(Scenario_Select="Scenario 3",'CBA Inputs'!AE$351-'CBA Inputs'!AE361,0)+IF(Scenario_Select="Scenario 4",'CBA Inputs'!AE$366-'CBA Inputs'!AE376,0)),0)*AF$55</f>
        <v>-10918822</v>
      </c>
      <c r="AG230" s="17">
        <f>IFERROR('Option inputs'!$F24*(IF(Scenario_Select="Scenario 1",'CBA Inputs'!AF$321-'CBA Inputs'!AF331,0)+IF(Scenario_Select="Scenario 2",'CBA Inputs'!AF$336-'CBA Inputs'!AF346,0)+IF(Scenario_Select="Scenario 3",'CBA Inputs'!AF$351-'CBA Inputs'!AF361,0)+IF(Scenario_Select="Scenario 4",'CBA Inputs'!AF$366-'CBA Inputs'!AF376,0)),0)*AG$55</f>
        <v>0</v>
      </c>
      <c r="AH230" s="17">
        <f>IFERROR('Option inputs'!$F24*(IF(Scenario_Select="Scenario 1",'CBA Inputs'!AG$321-'CBA Inputs'!AG331,0)+IF(Scenario_Select="Scenario 2",'CBA Inputs'!AG$336-'CBA Inputs'!AG346,0)+IF(Scenario_Select="Scenario 3",'CBA Inputs'!AG$351-'CBA Inputs'!AG361,0)+IF(Scenario_Select="Scenario 4",'CBA Inputs'!AG$366-'CBA Inputs'!AG376,0)),0)*AH$55</f>
        <v>0</v>
      </c>
      <c r="AI230" s="17">
        <f>IFERROR('Option inputs'!$F24*(IF(Scenario_Select="Scenario 1",'CBA Inputs'!AH$321-'CBA Inputs'!AH331,0)+IF(Scenario_Select="Scenario 2",'CBA Inputs'!AH$336-'CBA Inputs'!AH346,0)+IF(Scenario_Select="Scenario 3",'CBA Inputs'!AH$351-'CBA Inputs'!AH361,0)+IF(Scenario_Select="Scenario 4",'CBA Inputs'!AH$366-'CBA Inputs'!AH376,0)),0)*AI$55</f>
        <v>0</v>
      </c>
      <c r="AJ230" s="17">
        <f>IFERROR('Option inputs'!$F24*(IF(Scenario_Select="Scenario 1",'CBA Inputs'!AI$321-'CBA Inputs'!AI331,0)+IF(Scenario_Select="Scenario 2",'CBA Inputs'!AI$336-'CBA Inputs'!AI346,0)+IF(Scenario_Select="Scenario 3",'CBA Inputs'!AI$351-'CBA Inputs'!AI361,0)+IF(Scenario_Select="Scenario 4",'CBA Inputs'!AI$366-'CBA Inputs'!AI376,0)),0)*AJ$55</f>
        <v>0</v>
      </c>
    </row>
    <row r="231" spans="2:36" x14ac:dyDescent="0.35">
      <c r="B231" s="9">
        <f>'Option inputs'!B25</f>
        <v>11</v>
      </c>
      <c r="C231" s="14" t="str">
        <f>+'Option inputs'!C25</f>
        <v>Option 4B</v>
      </c>
      <c r="D231" s="26"/>
      <c r="E231" s="12" t="s">
        <v>35</v>
      </c>
      <c r="F231" s="18">
        <f t="shared" si="51"/>
        <v>801786579.34010816</v>
      </c>
      <c r="G231" s="17">
        <f>IFERROR('Option inputs'!$F25*(IF(Scenario_Select="Scenario 1",'CBA Inputs'!F$321-'CBA Inputs'!F332,0)+IF(Scenario_Select="Scenario 2",'CBA Inputs'!F$336-'CBA Inputs'!F347,0)+IF(Scenario_Select="Scenario 3",'CBA Inputs'!F$351-'CBA Inputs'!F362,0)+IF(Scenario_Select="Scenario 4",'CBA Inputs'!F$366-'CBA Inputs'!F377,0)),0)*G$55</f>
        <v>0</v>
      </c>
      <c r="H231" s="17">
        <f>IFERROR('Option inputs'!$F25*(IF(Scenario_Select="Scenario 1",'CBA Inputs'!G$321-'CBA Inputs'!G332,0)+IF(Scenario_Select="Scenario 2",'CBA Inputs'!G$336-'CBA Inputs'!G347,0)+IF(Scenario_Select="Scenario 3",'CBA Inputs'!G$351-'CBA Inputs'!G362,0)+IF(Scenario_Select="Scenario 4",'CBA Inputs'!G$366-'CBA Inputs'!G377,0)),0)*H$55</f>
        <v>1624</v>
      </c>
      <c r="I231" s="17">
        <f>IFERROR('Option inputs'!$F25*(IF(Scenario_Select="Scenario 1",'CBA Inputs'!H$321-'CBA Inputs'!H332,0)+IF(Scenario_Select="Scenario 2",'CBA Inputs'!H$336-'CBA Inputs'!H347,0)+IF(Scenario_Select="Scenario 3",'CBA Inputs'!H$351-'CBA Inputs'!H362,0)+IF(Scenario_Select="Scenario 4",'CBA Inputs'!H$366-'CBA Inputs'!H377,0)),0)*I$55</f>
        <v>169</v>
      </c>
      <c r="J231" s="17">
        <f>IFERROR('Option inputs'!$F25*(IF(Scenario_Select="Scenario 1",'CBA Inputs'!I$321-'CBA Inputs'!I332,0)+IF(Scenario_Select="Scenario 2",'CBA Inputs'!I$336-'CBA Inputs'!I347,0)+IF(Scenario_Select="Scenario 3",'CBA Inputs'!I$351-'CBA Inputs'!I362,0)+IF(Scenario_Select="Scenario 4",'CBA Inputs'!I$366-'CBA Inputs'!I377,0)),0)*J$55</f>
        <v>2768</v>
      </c>
      <c r="K231" s="17">
        <f>IFERROR('Option inputs'!$F25*(IF(Scenario_Select="Scenario 1",'CBA Inputs'!J$321-'CBA Inputs'!J332,0)+IF(Scenario_Select="Scenario 2",'CBA Inputs'!J$336-'CBA Inputs'!J347,0)+IF(Scenario_Select="Scenario 3",'CBA Inputs'!J$351-'CBA Inputs'!J362,0)+IF(Scenario_Select="Scenario 4",'CBA Inputs'!J$366-'CBA Inputs'!J377,0)),0)*K$55</f>
        <v>505176938</v>
      </c>
      <c r="L231" s="17">
        <f>IFERROR('Option inputs'!$F25*(IF(Scenario_Select="Scenario 1",'CBA Inputs'!K$321-'CBA Inputs'!K332,0)+IF(Scenario_Select="Scenario 2",'CBA Inputs'!K$336-'CBA Inputs'!K347,0)+IF(Scenario_Select="Scenario 3",'CBA Inputs'!K$351-'CBA Inputs'!K362,0)+IF(Scenario_Select="Scenario 4",'CBA Inputs'!K$366-'CBA Inputs'!K377,0)),0)*L$55</f>
        <v>536798141</v>
      </c>
      <c r="M231" s="17">
        <f>IFERROR('Option inputs'!$F25*(IF(Scenario_Select="Scenario 1",'CBA Inputs'!L$321-'CBA Inputs'!L332,0)+IF(Scenario_Select="Scenario 2",'CBA Inputs'!L$336-'CBA Inputs'!L347,0)+IF(Scenario_Select="Scenario 3",'CBA Inputs'!L$351-'CBA Inputs'!L362,0)+IF(Scenario_Select="Scenario 4",'CBA Inputs'!L$366-'CBA Inputs'!L377,0)),0)*M$55</f>
        <v>30340338</v>
      </c>
      <c r="N231" s="17">
        <f>IFERROR('Option inputs'!$F25*(IF(Scenario_Select="Scenario 1",'CBA Inputs'!M$321-'CBA Inputs'!M332,0)+IF(Scenario_Select="Scenario 2",'CBA Inputs'!M$336-'CBA Inputs'!M347,0)+IF(Scenario_Select="Scenario 3",'CBA Inputs'!M$351-'CBA Inputs'!M362,0)+IF(Scenario_Select="Scenario 4",'CBA Inputs'!M$366-'CBA Inputs'!M377,0)),0)*N$55</f>
        <v>20080276</v>
      </c>
      <c r="O231" s="17">
        <f>IFERROR('Option inputs'!$F25*(IF(Scenario_Select="Scenario 1",'CBA Inputs'!N$321-'CBA Inputs'!N332,0)+IF(Scenario_Select="Scenario 2",'CBA Inputs'!N$336-'CBA Inputs'!N347,0)+IF(Scenario_Select="Scenario 3",'CBA Inputs'!N$351-'CBA Inputs'!N362,0)+IF(Scenario_Select="Scenario 4",'CBA Inputs'!N$366-'CBA Inputs'!N377,0)),0)*O$55</f>
        <v>-52731859</v>
      </c>
      <c r="P231" s="17">
        <f>IFERROR('Option inputs'!$F25*(IF(Scenario_Select="Scenario 1",'CBA Inputs'!O$321-'CBA Inputs'!O332,0)+IF(Scenario_Select="Scenario 2",'CBA Inputs'!O$336-'CBA Inputs'!O347,0)+IF(Scenario_Select="Scenario 3",'CBA Inputs'!O$351-'CBA Inputs'!O362,0)+IF(Scenario_Select="Scenario 4",'CBA Inputs'!O$366-'CBA Inputs'!O377,0)),0)*P$55</f>
        <v>311187619</v>
      </c>
      <c r="Q231" s="17">
        <f>IFERROR('Option inputs'!$F25*(IF(Scenario_Select="Scenario 1",'CBA Inputs'!P$321-'CBA Inputs'!P332,0)+IF(Scenario_Select="Scenario 2",'CBA Inputs'!P$336-'CBA Inputs'!P347,0)+IF(Scenario_Select="Scenario 3",'CBA Inputs'!P$351-'CBA Inputs'!P362,0)+IF(Scenario_Select="Scenario 4",'CBA Inputs'!P$366-'CBA Inputs'!P377,0)),0)*Q$55</f>
        <v>1066247748</v>
      </c>
      <c r="R231" s="17">
        <f>IFERROR('Option inputs'!$F25*(IF(Scenario_Select="Scenario 1",'CBA Inputs'!Q$321-'CBA Inputs'!Q332,0)+IF(Scenario_Select="Scenario 2",'CBA Inputs'!Q$336-'CBA Inputs'!Q347,0)+IF(Scenario_Select="Scenario 3",'CBA Inputs'!Q$351-'CBA Inputs'!Q362,0)+IF(Scenario_Select="Scenario 4",'CBA Inputs'!Q$366-'CBA Inputs'!Q377,0)),0)*R$55</f>
        <v>-998492387</v>
      </c>
      <c r="S231" s="17">
        <f>IFERROR('Option inputs'!$F25*(IF(Scenario_Select="Scenario 1",'CBA Inputs'!R$321-'CBA Inputs'!R332,0)+IF(Scenario_Select="Scenario 2",'CBA Inputs'!R$336-'CBA Inputs'!R347,0)+IF(Scenario_Select="Scenario 3",'CBA Inputs'!R$351-'CBA Inputs'!R362,0)+IF(Scenario_Select="Scenario 4",'CBA Inputs'!R$366-'CBA Inputs'!R377,0)),0)*S$55</f>
        <v>1295304364</v>
      </c>
      <c r="T231" s="17">
        <f>IFERROR('Option inputs'!$F25*(IF(Scenario_Select="Scenario 1",'CBA Inputs'!S$321-'CBA Inputs'!S332,0)+IF(Scenario_Select="Scenario 2",'CBA Inputs'!S$336-'CBA Inputs'!S347,0)+IF(Scenario_Select="Scenario 3",'CBA Inputs'!S$351-'CBA Inputs'!S362,0)+IF(Scenario_Select="Scenario 4",'CBA Inputs'!S$366-'CBA Inputs'!S377,0)),0)*T$55</f>
        <v>-227527621</v>
      </c>
      <c r="U231" s="17">
        <f>IFERROR('Option inputs'!$F25*(IF(Scenario_Select="Scenario 1",'CBA Inputs'!T$321-'CBA Inputs'!T332,0)+IF(Scenario_Select="Scenario 2",'CBA Inputs'!T$336-'CBA Inputs'!T347,0)+IF(Scenario_Select="Scenario 3",'CBA Inputs'!T$351-'CBA Inputs'!T362,0)+IF(Scenario_Select="Scenario 4",'CBA Inputs'!T$366-'CBA Inputs'!T377,0)),0)*U$55</f>
        <v>-80469926</v>
      </c>
      <c r="V231" s="17">
        <f>IFERROR('Option inputs'!$F25*(IF(Scenario_Select="Scenario 1",'CBA Inputs'!U$321-'CBA Inputs'!U332,0)+IF(Scenario_Select="Scenario 2",'CBA Inputs'!U$336-'CBA Inputs'!U347,0)+IF(Scenario_Select="Scenario 3",'CBA Inputs'!U$351-'CBA Inputs'!U362,0)+IF(Scenario_Select="Scenario 4",'CBA Inputs'!U$366-'CBA Inputs'!U377,0)),0)*V$55</f>
        <v>185223659</v>
      </c>
      <c r="W231" s="17">
        <f>IFERROR('Option inputs'!$F25*(IF(Scenario_Select="Scenario 1",'CBA Inputs'!V$321-'CBA Inputs'!V332,0)+IF(Scenario_Select="Scenario 2",'CBA Inputs'!V$336-'CBA Inputs'!V347,0)+IF(Scenario_Select="Scenario 3",'CBA Inputs'!V$351-'CBA Inputs'!V362,0)+IF(Scenario_Select="Scenario 4",'CBA Inputs'!V$366-'CBA Inputs'!V377,0)),0)*W$55</f>
        <v>-713112934</v>
      </c>
      <c r="X231" s="17">
        <f>IFERROR('Option inputs'!$F25*(IF(Scenario_Select="Scenario 1",'CBA Inputs'!W$321-'CBA Inputs'!W332,0)+IF(Scenario_Select="Scenario 2",'CBA Inputs'!W$336-'CBA Inputs'!W347,0)+IF(Scenario_Select="Scenario 3",'CBA Inputs'!W$351-'CBA Inputs'!W362,0)+IF(Scenario_Select="Scenario 4",'CBA Inputs'!W$366-'CBA Inputs'!W377,0)),0)*X$55</f>
        <v>82524249</v>
      </c>
      <c r="Y231" s="17">
        <f>IFERROR('Option inputs'!$F25*(IF(Scenario_Select="Scenario 1",'CBA Inputs'!X$321-'CBA Inputs'!X332,0)+IF(Scenario_Select="Scenario 2",'CBA Inputs'!X$336-'CBA Inputs'!X347,0)+IF(Scenario_Select="Scenario 3",'CBA Inputs'!X$351-'CBA Inputs'!X362,0)+IF(Scenario_Select="Scenario 4",'CBA Inputs'!X$366-'CBA Inputs'!X377,0)),0)*Y$55</f>
        <v>-1318373861</v>
      </c>
      <c r="Z231" s="17">
        <f>IFERROR('Option inputs'!$F25*(IF(Scenario_Select="Scenario 1",'CBA Inputs'!Y$321-'CBA Inputs'!Y332,0)+IF(Scenario_Select="Scenario 2",'CBA Inputs'!Y$336-'CBA Inputs'!Y347,0)+IF(Scenario_Select="Scenario 3",'CBA Inputs'!Y$351-'CBA Inputs'!Y362,0)+IF(Scenario_Select="Scenario 4",'CBA Inputs'!Y$366-'CBA Inputs'!Y377,0)),0)*Z$55</f>
        <v>-205787445</v>
      </c>
      <c r="AA231" s="17">
        <f>IFERROR('Option inputs'!$F25*(IF(Scenario_Select="Scenario 1",'CBA Inputs'!Z$321-'CBA Inputs'!Z332,0)+IF(Scenario_Select="Scenario 2",'CBA Inputs'!Z$336-'CBA Inputs'!Z347,0)+IF(Scenario_Select="Scenario 3",'CBA Inputs'!Z$351-'CBA Inputs'!Z362,0)+IF(Scenario_Select="Scenario 4",'CBA Inputs'!Z$366-'CBA Inputs'!Z377,0)),0)*AA$55</f>
        <v>-88186547</v>
      </c>
      <c r="AB231" s="17">
        <f>IFERROR('Option inputs'!$F25*(IF(Scenario_Select="Scenario 1",'CBA Inputs'!AA$321-'CBA Inputs'!AA332,0)+IF(Scenario_Select="Scenario 2",'CBA Inputs'!AA$336-'CBA Inputs'!AA347,0)+IF(Scenario_Select="Scenario 3",'CBA Inputs'!AA$351-'CBA Inputs'!AA362,0)+IF(Scenario_Select="Scenario 4",'CBA Inputs'!AA$366-'CBA Inputs'!AA377,0)),0)*AB$55</f>
        <v>12465929</v>
      </c>
      <c r="AC231" s="17">
        <f>IFERROR('Option inputs'!$F25*(IF(Scenario_Select="Scenario 1",'CBA Inputs'!AB$321-'CBA Inputs'!AB332,0)+IF(Scenario_Select="Scenario 2",'CBA Inputs'!AB$336-'CBA Inputs'!AB347,0)+IF(Scenario_Select="Scenario 3",'CBA Inputs'!AB$351-'CBA Inputs'!AB362,0)+IF(Scenario_Select="Scenario 4",'CBA Inputs'!AB$366-'CBA Inputs'!AB377,0)),0)*AC$55</f>
        <v>-7172937</v>
      </c>
      <c r="AD231" s="17">
        <f>IFERROR('Option inputs'!$F25*(IF(Scenario_Select="Scenario 1",'CBA Inputs'!AC$321-'CBA Inputs'!AC332,0)+IF(Scenario_Select="Scenario 2",'CBA Inputs'!AC$336-'CBA Inputs'!AC347,0)+IF(Scenario_Select="Scenario 3",'CBA Inputs'!AC$351-'CBA Inputs'!AC362,0)+IF(Scenario_Select="Scenario 4",'CBA Inputs'!AC$366-'CBA Inputs'!AC377,0)),0)*AD$55</f>
        <v>-203014357</v>
      </c>
      <c r="AE231" s="17">
        <f>IFERROR('Option inputs'!$F25*(IF(Scenario_Select="Scenario 1",'CBA Inputs'!AD$321-'CBA Inputs'!AD332,0)+IF(Scenario_Select="Scenario 2",'CBA Inputs'!AD$336-'CBA Inputs'!AD347,0)+IF(Scenario_Select="Scenario 3",'CBA Inputs'!AD$351-'CBA Inputs'!AD362,0)+IF(Scenario_Select="Scenario 4",'CBA Inputs'!AD$366-'CBA Inputs'!AD377,0)),0)*AE$55</f>
        <v>121146035</v>
      </c>
      <c r="AF231" s="17">
        <f>IFERROR('Option inputs'!$F25*(IF(Scenario_Select="Scenario 1",'CBA Inputs'!AE$321-'CBA Inputs'!AE332,0)+IF(Scenario_Select="Scenario 2",'CBA Inputs'!AE$336-'CBA Inputs'!AE347,0)+IF(Scenario_Select="Scenario 3",'CBA Inputs'!AE$351-'CBA Inputs'!AE362,0)+IF(Scenario_Select="Scenario 4",'CBA Inputs'!AE$366-'CBA Inputs'!AE377,0)),0)*AF$55</f>
        <v>-9710038</v>
      </c>
      <c r="AG231" s="17">
        <f>IFERROR('Option inputs'!$F25*(IF(Scenario_Select="Scenario 1",'CBA Inputs'!AF$321-'CBA Inputs'!AF332,0)+IF(Scenario_Select="Scenario 2",'CBA Inputs'!AF$336-'CBA Inputs'!AF347,0)+IF(Scenario_Select="Scenario 3",'CBA Inputs'!AF$351-'CBA Inputs'!AF362,0)+IF(Scenario_Select="Scenario 4",'CBA Inputs'!AF$366-'CBA Inputs'!AF377,0)),0)*AG$55</f>
        <v>0</v>
      </c>
      <c r="AH231" s="17">
        <f>IFERROR('Option inputs'!$F25*(IF(Scenario_Select="Scenario 1",'CBA Inputs'!AG$321-'CBA Inputs'!AG332,0)+IF(Scenario_Select="Scenario 2",'CBA Inputs'!AG$336-'CBA Inputs'!AG347,0)+IF(Scenario_Select="Scenario 3",'CBA Inputs'!AG$351-'CBA Inputs'!AG362,0)+IF(Scenario_Select="Scenario 4",'CBA Inputs'!AG$366-'CBA Inputs'!AG377,0)),0)*AH$55</f>
        <v>0</v>
      </c>
      <c r="AI231" s="17">
        <f>IFERROR('Option inputs'!$F25*(IF(Scenario_Select="Scenario 1",'CBA Inputs'!AH$321-'CBA Inputs'!AH332,0)+IF(Scenario_Select="Scenario 2",'CBA Inputs'!AH$336-'CBA Inputs'!AH347,0)+IF(Scenario_Select="Scenario 3",'CBA Inputs'!AH$351-'CBA Inputs'!AH362,0)+IF(Scenario_Select="Scenario 4",'CBA Inputs'!AH$366-'CBA Inputs'!AH377,0)),0)*AI$55</f>
        <v>0</v>
      </c>
      <c r="AJ231" s="17">
        <f>IFERROR('Option inputs'!$F25*(IF(Scenario_Select="Scenario 1",'CBA Inputs'!AI$321-'CBA Inputs'!AI332,0)+IF(Scenario_Select="Scenario 2",'CBA Inputs'!AI$336-'CBA Inputs'!AI347,0)+IF(Scenario_Select="Scenario 3",'CBA Inputs'!AI$351-'CBA Inputs'!AI362,0)+IF(Scenario_Select="Scenario 4",'CBA Inputs'!AI$366-'CBA Inputs'!AI377,0)),0)*AJ$55</f>
        <v>0</v>
      </c>
    </row>
    <row r="232" spans="2:36" x14ac:dyDescent="0.35">
      <c r="B232" s="9">
        <f>'Option inputs'!B26</f>
        <v>12</v>
      </c>
      <c r="C232" s="14" t="str">
        <f>+'Option inputs'!C26</f>
        <v>Option 4C</v>
      </c>
      <c r="D232" s="26"/>
      <c r="E232" s="12" t="s">
        <v>35</v>
      </c>
      <c r="F232" s="18">
        <f t="shared" si="51"/>
        <v>903602799.82133389</v>
      </c>
      <c r="G232" s="17">
        <f>IFERROR('Option inputs'!$F26*(IF(Scenario_Select="Scenario 1",'CBA Inputs'!F$321-'CBA Inputs'!F333,0)+IF(Scenario_Select="Scenario 2",'CBA Inputs'!F$336-'CBA Inputs'!F348,0)+IF(Scenario_Select="Scenario 3",'CBA Inputs'!F$351-'CBA Inputs'!F363,0)+IF(Scenario_Select="Scenario 4",'CBA Inputs'!F$366-'CBA Inputs'!F378,0)),0)*G$55</f>
        <v>0</v>
      </c>
      <c r="H232" s="17">
        <f>IFERROR('Option inputs'!$F26*(IF(Scenario_Select="Scenario 1",'CBA Inputs'!G$321-'CBA Inputs'!G333,0)+IF(Scenario_Select="Scenario 2",'CBA Inputs'!G$336-'CBA Inputs'!G348,0)+IF(Scenario_Select="Scenario 3",'CBA Inputs'!G$351-'CBA Inputs'!G363,0)+IF(Scenario_Select="Scenario 4",'CBA Inputs'!G$366-'CBA Inputs'!G378,0)),0)*H$55</f>
        <v>57309</v>
      </c>
      <c r="I232" s="17">
        <f>IFERROR('Option inputs'!$F26*(IF(Scenario_Select="Scenario 1",'CBA Inputs'!H$321-'CBA Inputs'!H333,0)+IF(Scenario_Select="Scenario 2",'CBA Inputs'!H$336-'CBA Inputs'!H348,0)+IF(Scenario_Select="Scenario 3",'CBA Inputs'!H$351-'CBA Inputs'!H363,0)+IF(Scenario_Select="Scenario 4",'CBA Inputs'!H$366-'CBA Inputs'!H378,0)),0)*I$55</f>
        <v>9746</v>
      </c>
      <c r="J232" s="17">
        <f>IFERROR('Option inputs'!$F26*(IF(Scenario_Select="Scenario 1",'CBA Inputs'!I$321-'CBA Inputs'!I333,0)+IF(Scenario_Select="Scenario 2",'CBA Inputs'!I$336-'CBA Inputs'!I348,0)+IF(Scenario_Select="Scenario 3",'CBA Inputs'!I$351-'CBA Inputs'!I363,0)+IF(Scenario_Select="Scenario 4",'CBA Inputs'!I$366-'CBA Inputs'!I378,0)),0)*J$55</f>
        <v>16845</v>
      </c>
      <c r="K232" s="17">
        <f>IFERROR('Option inputs'!$F26*(IF(Scenario_Select="Scenario 1",'CBA Inputs'!J$321-'CBA Inputs'!J333,0)+IF(Scenario_Select="Scenario 2",'CBA Inputs'!J$336-'CBA Inputs'!J348,0)+IF(Scenario_Select="Scenario 3",'CBA Inputs'!J$351-'CBA Inputs'!J363,0)+IF(Scenario_Select="Scenario 4",'CBA Inputs'!J$366-'CBA Inputs'!J378,0)),0)*K$55</f>
        <v>751606880</v>
      </c>
      <c r="L232" s="17">
        <f>IFERROR('Option inputs'!$F26*(IF(Scenario_Select="Scenario 1",'CBA Inputs'!K$321-'CBA Inputs'!K333,0)+IF(Scenario_Select="Scenario 2",'CBA Inputs'!K$336-'CBA Inputs'!K348,0)+IF(Scenario_Select="Scenario 3",'CBA Inputs'!K$351-'CBA Inputs'!K363,0)+IF(Scenario_Select="Scenario 4",'CBA Inputs'!K$366-'CBA Inputs'!K378,0)),0)*L$55</f>
        <v>534985277</v>
      </c>
      <c r="M232" s="17">
        <f>IFERROR('Option inputs'!$F26*(IF(Scenario_Select="Scenario 1",'CBA Inputs'!L$321-'CBA Inputs'!L333,0)+IF(Scenario_Select="Scenario 2",'CBA Inputs'!L$336-'CBA Inputs'!L348,0)+IF(Scenario_Select="Scenario 3",'CBA Inputs'!L$351-'CBA Inputs'!L363,0)+IF(Scenario_Select="Scenario 4",'CBA Inputs'!L$366-'CBA Inputs'!L378,0)),0)*M$55</f>
        <v>28882387</v>
      </c>
      <c r="N232" s="17">
        <f>IFERROR('Option inputs'!$F26*(IF(Scenario_Select="Scenario 1",'CBA Inputs'!M$321-'CBA Inputs'!M333,0)+IF(Scenario_Select="Scenario 2",'CBA Inputs'!M$336-'CBA Inputs'!M348,0)+IF(Scenario_Select="Scenario 3",'CBA Inputs'!M$351-'CBA Inputs'!M363,0)+IF(Scenario_Select="Scenario 4",'CBA Inputs'!M$366-'CBA Inputs'!M378,0)),0)*N$55</f>
        <v>23845823</v>
      </c>
      <c r="O232" s="17">
        <f>IFERROR('Option inputs'!$F26*(IF(Scenario_Select="Scenario 1",'CBA Inputs'!N$321-'CBA Inputs'!N333,0)+IF(Scenario_Select="Scenario 2",'CBA Inputs'!N$336-'CBA Inputs'!N348,0)+IF(Scenario_Select="Scenario 3",'CBA Inputs'!N$351-'CBA Inputs'!N363,0)+IF(Scenario_Select="Scenario 4",'CBA Inputs'!N$366-'CBA Inputs'!N378,0)),0)*O$55</f>
        <v>-51030445</v>
      </c>
      <c r="P232" s="17">
        <f>IFERROR('Option inputs'!$F26*(IF(Scenario_Select="Scenario 1",'CBA Inputs'!O$321-'CBA Inputs'!O333,0)+IF(Scenario_Select="Scenario 2",'CBA Inputs'!O$336-'CBA Inputs'!O348,0)+IF(Scenario_Select="Scenario 3",'CBA Inputs'!O$351-'CBA Inputs'!O363,0)+IF(Scenario_Select="Scenario 4",'CBA Inputs'!O$366-'CBA Inputs'!O378,0)),0)*P$55</f>
        <v>302634716</v>
      </c>
      <c r="Q232" s="17">
        <f>IFERROR('Option inputs'!$F26*(IF(Scenario_Select="Scenario 1",'CBA Inputs'!P$321-'CBA Inputs'!P333,0)+IF(Scenario_Select="Scenario 2",'CBA Inputs'!P$336-'CBA Inputs'!P348,0)+IF(Scenario_Select="Scenario 3",'CBA Inputs'!P$351-'CBA Inputs'!P363,0)+IF(Scenario_Select="Scenario 4",'CBA Inputs'!P$366-'CBA Inputs'!P378,0)),0)*Q$55</f>
        <v>1056477998</v>
      </c>
      <c r="R232" s="17">
        <f>IFERROR('Option inputs'!$F26*(IF(Scenario_Select="Scenario 1",'CBA Inputs'!Q$321-'CBA Inputs'!Q333,0)+IF(Scenario_Select="Scenario 2",'CBA Inputs'!Q$336-'CBA Inputs'!Q348,0)+IF(Scenario_Select="Scenario 3",'CBA Inputs'!Q$351-'CBA Inputs'!Q363,0)+IF(Scenario_Select="Scenario 4",'CBA Inputs'!Q$366-'CBA Inputs'!Q378,0)),0)*R$55</f>
        <v>-1159561607</v>
      </c>
      <c r="S232" s="17">
        <f>IFERROR('Option inputs'!$F26*(IF(Scenario_Select="Scenario 1",'CBA Inputs'!R$321-'CBA Inputs'!R333,0)+IF(Scenario_Select="Scenario 2",'CBA Inputs'!R$336-'CBA Inputs'!R348,0)+IF(Scenario_Select="Scenario 3",'CBA Inputs'!R$351-'CBA Inputs'!R363,0)+IF(Scenario_Select="Scenario 4",'CBA Inputs'!R$366-'CBA Inputs'!R378,0)),0)*S$55</f>
        <v>1297602816</v>
      </c>
      <c r="T232" s="17">
        <f>IFERROR('Option inputs'!$F26*(IF(Scenario_Select="Scenario 1",'CBA Inputs'!S$321-'CBA Inputs'!S333,0)+IF(Scenario_Select="Scenario 2",'CBA Inputs'!S$336-'CBA Inputs'!S348,0)+IF(Scenario_Select="Scenario 3",'CBA Inputs'!S$351-'CBA Inputs'!S363,0)+IF(Scenario_Select="Scenario 4",'CBA Inputs'!S$366-'CBA Inputs'!S378,0)),0)*T$55</f>
        <v>-227652748</v>
      </c>
      <c r="U232" s="17">
        <f>IFERROR('Option inputs'!$F26*(IF(Scenario_Select="Scenario 1",'CBA Inputs'!T$321-'CBA Inputs'!T333,0)+IF(Scenario_Select="Scenario 2",'CBA Inputs'!T$336-'CBA Inputs'!T348,0)+IF(Scenario_Select="Scenario 3",'CBA Inputs'!T$351-'CBA Inputs'!T363,0)+IF(Scenario_Select="Scenario 4",'CBA Inputs'!T$366-'CBA Inputs'!T378,0)),0)*U$55</f>
        <v>-80526917</v>
      </c>
      <c r="V232" s="17">
        <f>IFERROR('Option inputs'!$F26*(IF(Scenario_Select="Scenario 1",'CBA Inputs'!U$321-'CBA Inputs'!U333,0)+IF(Scenario_Select="Scenario 2",'CBA Inputs'!U$336-'CBA Inputs'!U348,0)+IF(Scenario_Select="Scenario 3",'CBA Inputs'!U$351-'CBA Inputs'!U363,0)+IF(Scenario_Select="Scenario 4",'CBA Inputs'!U$366-'CBA Inputs'!U378,0)),0)*V$55</f>
        <v>185804617</v>
      </c>
      <c r="W232" s="17">
        <f>IFERROR('Option inputs'!$F26*(IF(Scenario_Select="Scenario 1",'CBA Inputs'!V$321-'CBA Inputs'!V333,0)+IF(Scenario_Select="Scenario 2",'CBA Inputs'!V$336-'CBA Inputs'!V348,0)+IF(Scenario_Select="Scenario 3",'CBA Inputs'!V$351-'CBA Inputs'!V363,0)+IF(Scenario_Select="Scenario 4",'CBA Inputs'!V$366-'CBA Inputs'!V378,0)),0)*W$55</f>
        <v>-713550571</v>
      </c>
      <c r="X232" s="17">
        <f>IFERROR('Option inputs'!$F26*(IF(Scenario_Select="Scenario 1",'CBA Inputs'!W$321-'CBA Inputs'!W333,0)+IF(Scenario_Select="Scenario 2",'CBA Inputs'!W$336-'CBA Inputs'!W348,0)+IF(Scenario_Select="Scenario 3",'CBA Inputs'!W$351-'CBA Inputs'!W363,0)+IF(Scenario_Select="Scenario 4",'CBA Inputs'!W$366-'CBA Inputs'!W378,0)),0)*X$55</f>
        <v>82271208</v>
      </c>
      <c r="Y232" s="17">
        <f>IFERROR('Option inputs'!$F26*(IF(Scenario_Select="Scenario 1",'CBA Inputs'!X$321-'CBA Inputs'!X333,0)+IF(Scenario_Select="Scenario 2",'CBA Inputs'!X$336-'CBA Inputs'!X348,0)+IF(Scenario_Select="Scenario 3",'CBA Inputs'!X$351-'CBA Inputs'!X363,0)+IF(Scenario_Select="Scenario 4",'CBA Inputs'!X$366-'CBA Inputs'!X378,0)),0)*Y$55</f>
        <v>-1320763234</v>
      </c>
      <c r="Z232" s="17">
        <f>IFERROR('Option inputs'!$F26*(IF(Scenario_Select="Scenario 1",'CBA Inputs'!Y$321-'CBA Inputs'!Y333,0)+IF(Scenario_Select="Scenario 2",'CBA Inputs'!Y$336-'CBA Inputs'!Y348,0)+IF(Scenario_Select="Scenario 3",'CBA Inputs'!Y$351-'CBA Inputs'!Y363,0)+IF(Scenario_Select="Scenario 4",'CBA Inputs'!Y$366-'CBA Inputs'!Y378,0)),0)*Z$55</f>
        <v>-202402649</v>
      </c>
      <c r="AA232" s="17">
        <f>IFERROR('Option inputs'!$F26*(IF(Scenario_Select="Scenario 1",'CBA Inputs'!Z$321-'CBA Inputs'!Z333,0)+IF(Scenario_Select="Scenario 2",'CBA Inputs'!Z$336-'CBA Inputs'!Z348,0)+IF(Scenario_Select="Scenario 3",'CBA Inputs'!Z$351-'CBA Inputs'!Z363,0)+IF(Scenario_Select="Scenario 4",'CBA Inputs'!Z$366-'CBA Inputs'!Z378,0)),0)*AA$55</f>
        <v>-90527393</v>
      </c>
      <c r="AB232" s="17">
        <f>IFERROR('Option inputs'!$F26*(IF(Scenario_Select="Scenario 1",'CBA Inputs'!AA$321-'CBA Inputs'!AA333,0)+IF(Scenario_Select="Scenario 2",'CBA Inputs'!AA$336-'CBA Inputs'!AA348,0)+IF(Scenario_Select="Scenario 3",'CBA Inputs'!AA$351-'CBA Inputs'!AA363,0)+IF(Scenario_Select="Scenario 4",'CBA Inputs'!AA$366-'CBA Inputs'!AA378,0)),0)*AB$55</f>
        <v>12865197</v>
      </c>
      <c r="AC232" s="17">
        <f>IFERROR('Option inputs'!$F26*(IF(Scenario_Select="Scenario 1",'CBA Inputs'!AB$321-'CBA Inputs'!AB333,0)+IF(Scenario_Select="Scenario 2",'CBA Inputs'!AB$336-'CBA Inputs'!AB348,0)+IF(Scenario_Select="Scenario 3",'CBA Inputs'!AB$351-'CBA Inputs'!AB363,0)+IF(Scenario_Select="Scenario 4",'CBA Inputs'!AB$366-'CBA Inputs'!AB378,0)),0)*AC$55</f>
        <v>-6437738</v>
      </c>
      <c r="AD232" s="17">
        <f>IFERROR('Option inputs'!$F26*(IF(Scenario_Select="Scenario 1",'CBA Inputs'!AC$321-'CBA Inputs'!AC333,0)+IF(Scenario_Select="Scenario 2",'CBA Inputs'!AC$336-'CBA Inputs'!AC348,0)+IF(Scenario_Select="Scenario 3",'CBA Inputs'!AC$351-'CBA Inputs'!AC363,0)+IF(Scenario_Select="Scenario 4",'CBA Inputs'!AC$366-'CBA Inputs'!AC378,0)),0)*AD$55</f>
        <v>-202961874</v>
      </c>
      <c r="AE232" s="17">
        <f>IFERROR('Option inputs'!$F26*(IF(Scenario_Select="Scenario 1",'CBA Inputs'!AD$321-'CBA Inputs'!AD333,0)+IF(Scenario_Select="Scenario 2",'CBA Inputs'!AD$336-'CBA Inputs'!AD348,0)+IF(Scenario_Select="Scenario 3",'CBA Inputs'!AD$351-'CBA Inputs'!AD363,0)+IF(Scenario_Select="Scenario 4",'CBA Inputs'!AD$366-'CBA Inputs'!AD378,0)),0)*AE$55</f>
        <v>121192361</v>
      </c>
      <c r="AF232" s="17">
        <f>IFERROR('Option inputs'!$F26*(IF(Scenario_Select="Scenario 1",'CBA Inputs'!AE$321-'CBA Inputs'!AE333,0)+IF(Scenario_Select="Scenario 2",'CBA Inputs'!AE$336-'CBA Inputs'!AE348,0)+IF(Scenario_Select="Scenario 3",'CBA Inputs'!AE$351-'CBA Inputs'!AE363,0)+IF(Scenario_Select="Scenario 4",'CBA Inputs'!AE$366-'CBA Inputs'!AE378,0)),0)*AF$55</f>
        <v>-9661043</v>
      </c>
      <c r="AG232" s="17">
        <f>IFERROR('Option inputs'!$F26*(IF(Scenario_Select="Scenario 1",'CBA Inputs'!AF$321-'CBA Inputs'!AF333,0)+IF(Scenario_Select="Scenario 2",'CBA Inputs'!AF$336-'CBA Inputs'!AF348,0)+IF(Scenario_Select="Scenario 3",'CBA Inputs'!AF$351-'CBA Inputs'!AF363,0)+IF(Scenario_Select="Scenario 4",'CBA Inputs'!AF$366-'CBA Inputs'!AF378,0)),0)*AG$55</f>
        <v>0</v>
      </c>
      <c r="AH232" s="17">
        <f>IFERROR('Option inputs'!$F26*(IF(Scenario_Select="Scenario 1",'CBA Inputs'!AG$321-'CBA Inputs'!AG333,0)+IF(Scenario_Select="Scenario 2",'CBA Inputs'!AG$336-'CBA Inputs'!AG348,0)+IF(Scenario_Select="Scenario 3",'CBA Inputs'!AG$351-'CBA Inputs'!AG363,0)+IF(Scenario_Select="Scenario 4",'CBA Inputs'!AG$366-'CBA Inputs'!AG378,0)),0)*AH$55</f>
        <v>0</v>
      </c>
      <c r="AI232" s="17">
        <f>IFERROR('Option inputs'!$F26*(IF(Scenario_Select="Scenario 1",'CBA Inputs'!AH$321-'CBA Inputs'!AH333,0)+IF(Scenario_Select="Scenario 2",'CBA Inputs'!AH$336-'CBA Inputs'!AH348,0)+IF(Scenario_Select="Scenario 3",'CBA Inputs'!AH$351-'CBA Inputs'!AH363,0)+IF(Scenario_Select="Scenario 4",'CBA Inputs'!AH$366-'CBA Inputs'!AH378,0)),0)*AI$55</f>
        <v>0</v>
      </c>
      <c r="AJ232" s="17">
        <f>IFERROR('Option inputs'!$F26*(IF(Scenario_Select="Scenario 1",'CBA Inputs'!AI$321-'CBA Inputs'!AI333,0)+IF(Scenario_Select="Scenario 2",'CBA Inputs'!AI$336-'CBA Inputs'!AI348,0)+IF(Scenario_Select="Scenario 3",'CBA Inputs'!AI$351-'CBA Inputs'!AI363,0)+IF(Scenario_Select="Scenario 4",'CBA Inputs'!AI$366-'CBA Inputs'!AI378,0)),0)*AJ$55</f>
        <v>0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8b594fe0c2f491d889a1f5ed566becb xmlns="b82ac699-7e94-47da-a6ed-b75b380e0bd7">
      <Terms xmlns="http://schemas.microsoft.com/office/infopath/2007/PartnerControls"/>
    </d8b594fe0c2f491d889a1f5ed566becb>
    <naa700741d9d42d5b10b9434dce76e75 xmlns="b82ac699-7e94-47da-a6ed-b75b380e0bd7">
      <Terms xmlns="http://schemas.microsoft.com/office/infopath/2007/PartnerControls"/>
    </naa700741d9d42d5b10b9434dce76e75>
    <TaxCatchAll xmlns="f0e6702e-4574-4095-a9ea-76c0d1a77643"/>
    <p46ce59d80f543ed9fd6391417169c9e xmlns="b82ac699-7e94-47da-a6ed-b75b380e0bd7">
      <Terms xmlns="http://schemas.microsoft.com/office/infopath/2007/PartnerControls"/>
    </p46ce59d80f543ed9fd6391417169c9e>
    <PublishingExpirationDate xmlns="http://schemas.microsoft.com/sharepoint/v3" xsi:nil="true"/>
    <e968f008490c466f90bc6889d751dcbb xmlns="b82ac699-7e94-47da-a6ed-b75b380e0bd7">
      <Terms xmlns="http://schemas.microsoft.com/office/infopath/2007/PartnerControls"/>
    </e968f008490c466f90bc6889d751dcbb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720D93C7FF8B49802AE22B2B090644" ma:contentTypeVersion="1" ma:contentTypeDescription="Create a new document." ma:contentTypeScope="" ma:versionID="58baa46aa51e54efcb88e86e45889850">
  <xsd:schema xmlns:xsd="http://www.w3.org/2001/XMLSchema" xmlns:xs="http://www.w3.org/2001/XMLSchema" xmlns:p="http://schemas.microsoft.com/office/2006/metadata/properties" xmlns:ns1="http://schemas.microsoft.com/sharepoint/v3" xmlns:ns2="b82ac699-7e94-47da-a6ed-b75b380e0bd7" xmlns:ns3="f0e6702e-4574-4095-a9ea-76c0d1a77643" targetNamespace="http://schemas.microsoft.com/office/2006/metadata/properties" ma:root="true" ma:fieldsID="90e32c2224926579f0c2cd6121ed01c2" ns1:_="" ns2:_="" ns3:_="">
    <xsd:import namespace="http://schemas.microsoft.com/sharepoint/v3"/>
    <xsd:import namespace="b82ac699-7e94-47da-a6ed-b75b380e0bd7"/>
    <xsd:import namespace="f0e6702e-4574-4095-a9ea-76c0d1a77643"/>
    <xsd:element name="properties">
      <xsd:complexType>
        <xsd:sequence>
          <xsd:element name="documentManagement">
            <xsd:complexType>
              <xsd:all>
                <xsd:element ref="ns2:e968f008490c466f90bc6889d751dcbb" minOccurs="0"/>
                <xsd:element ref="ns3:TaxCatchAll" minOccurs="0"/>
                <xsd:element ref="ns3:TaxCatchAllLabel" minOccurs="0"/>
                <xsd:element ref="ns2:d8b594fe0c2f491d889a1f5ed566becb" minOccurs="0"/>
                <xsd:element ref="ns2:naa700741d9d42d5b10b9434dce76e75" minOccurs="0"/>
                <xsd:element ref="ns2:p46ce59d80f543ed9fd6391417169c9e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1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1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2ac699-7e94-47da-a6ed-b75b380e0bd7" elementFormDefault="qualified">
    <xsd:import namespace="http://schemas.microsoft.com/office/2006/documentManagement/types"/>
    <xsd:import namespace="http://schemas.microsoft.com/office/infopath/2007/PartnerControls"/>
    <xsd:element name="e968f008490c466f90bc6889d751dcbb" ma:index="8" nillable="true" ma:taxonomy="true" ma:internalName="e968f008490c466f90bc6889d751dcbb" ma:taxonomyFieldName="DocumentCategory" ma:displayName="Category" ma:default="" ma:fieldId="{e968f008-490c-466f-90bc-6889d751dcbb}" ma:sspId="2708887b-f5f3-4706-8e6b-b6ea70c0c9b2" ma:termSetId="69490f1e-aa01-42c5-984b-d59b583e6da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8b594fe0c2f491d889a1f5ed566becb" ma:index="12" nillable="true" ma:taxonomy="true" ma:internalName="d8b594fe0c2f491d889a1f5ed566becb" ma:taxonomyFieldName="DocumentRegion" ma:displayName="Region" ma:default="" ma:fieldId="{d8b594fe-0c2f-491d-889a-1f5ed566becb}" ma:sspId="2708887b-f5f3-4706-8e6b-b6ea70c0c9b2" ma:termSetId="2df1f996-0113-4cf7-a169-9078e2c2f3d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aa700741d9d42d5b10b9434dce76e75" ma:index="14" nillable="true" ma:taxonomy="true" ma:internalName="naa700741d9d42d5b10b9434dce76e75" ma:taxonomyFieldName="DocumentTopic" ma:displayName="Topic" ma:default="" ma:fieldId="{7aa70074-1d9d-42d5-b10b-9434dce76e75}" ma:sspId="2708887b-f5f3-4706-8e6b-b6ea70c0c9b2" ma:termSetId="3e039326-be3a-4be3-8b72-0951cd8155c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46ce59d80f543ed9fd6391417169c9e" ma:index="16" nillable="true" ma:taxonomy="true" ma:internalName="p46ce59d80f543ed9fd6391417169c9e" ma:taxonomyFieldName="DocumentSubTopic" ma:displayName="Sub Topic" ma:default="" ma:fieldId="{946ce59d-80f5-43ed-9fd6-391417169c9e}" ma:sspId="2708887b-f5f3-4706-8e6b-b6ea70c0c9b2" ma:termSetId="bba4c48a-ec13-4a7a-b3e4-bd04438276c4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e6702e-4574-4095-a9ea-76c0d1a77643" elementFormDefault="qualified">
    <xsd:import namespace="http://schemas.microsoft.com/office/2006/documentManagement/types"/>
    <xsd:import namespace="http://schemas.microsoft.com/office/infopath/2007/PartnerControls"/>
    <xsd:element name="TaxCatchAll" ma:index="9" nillable="true" ma:displayName="Taxonomy Catch All Column" ma:description="" ma:hidden="true" ma:list="{932b2525-0d26-4107-bde1-971f8ba7f2d0}" ma:internalName="TaxCatchAll" ma:showField="CatchAllData" ma:web="f0e6702e-4574-4095-a9ea-76c0d1a776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description="" ma:hidden="true" ma:list="{932b2525-0d26-4107-bde1-971f8ba7f2d0}" ma:internalName="TaxCatchAllLabel" ma:readOnly="true" ma:showField="CatchAllDataLabel" ma:web="f0e6702e-4574-4095-a9ea-76c0d1a776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7061CBA-415D-48D3-8C79-21C27D57DF21}">
  <ds:schemaRefs>
    <ds:schemaRef ds:uri="http://purl.org/dc/terms/"/>
    <ds:schemaRef ds:uri="9d0d1366-599b-4f21-9efe-be9e1bd6db71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7A96E3E-ECB1-4FF3-998C-01F7D3D0492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751CF76-887E-4D71-ADF9-AA17203476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24</vt:i4>
      </vt:variant>
    </vt:vector>
  </HeadingPairs>
  <TitlesOfParts>
    <vt:vector size="30" baseType="lpstr">
      <vt:lpstr>Overview of the model</vt:lpstr>
      <vt:lpstr>Interface and charts</vt:lpstr>
      <vt:lpstr>Chart tables</vt:lpstr>
      <vt:lpstr>Option inputs</vt:lpstr>
      <vt:lpstr>CBA Inputs</vt:lpstr>
      <vt:lpstr>Calculation</vt:lpstr>
      <vt:lpstr>AnalysisPeriod</vt:lpstr>
      <vt:lpstr>BaseYear</vt:lpstr>
      <vt:lpstr>CapitalCost_ACTIVE</vt:lpstr>
      <vt:lpstr>CapitalCost_Base</vt:lpstr>
      <vt:lpstr>CapitalCost_High</vt:lpstr>
      <vt:lpstr>CapitalCost_Low</vt:lpstr>
      <vt:lpstr>CapitalCost_Selection</vt:lpstr>
      <vt:lpstr>Cost1_Selection</vt:lpstr>
      <vt:lpstr>DiscountRate_ACTIVE</vt:lpstr>
      <vt:lpstr>DiscountRate_Base</vt:lpstr>
      <vt:lpstr>DiscountRate_High</vt:lpstr>
      <vt:lpstr>DiscountRate_Low</vt:lpstr>
      <vt:lpstr>DiscountRate_Selection</vt:lpstr>
      <vt:lpstr>FirstYear</vt:lpstr>
      <vt:lpstr>NPV_Results_V</vt:lpstr>
      <vt:lpstr>Scenario_Select</vt:lpstr>
      <vt:lpstr>Scenario1_BreakdownResults</vt:lpstr>
      <vt:lpstr>Scenario1_Results_H</vt:lpstr>
      <vt:lpstr>Scenario2_BreakdownResults</vt:lpstr>
      <vt:lpstr>Scenario2_Results_H</vt:lpstr>
      <vt:lpstr>Scenario3_BreakdownResults</vt:lpstr>
      <vt:lpstr>Scenario3_Results_H</vt:lpstr>
      <vt:lpstr>Scenario4_BreakdownResults</vt:lpstr>
      <vt:lpstr>Scenario4_Results_H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Chen</dc:creator>
  <cp:lastModifiedBy>Tony Chen</cp:lastModifiedBy>
  <dcterms:created xsi:type="dcterms:W3CDTF">2014-04-05T12:28:10Z</dcterms:created>
  <dcterms:modified xsi:type="dcterms:W3CDTF">2020-01-09T02:43:20Z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0x01010040720D93C7FF8B49802AE22B2B090644</vt:lpwstr>
  </property>
</Properties>
</file>